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xr:revisionPtr revIDLastSave="0" documentId="13_ncr:1_{A3486583-C01D-47F6-B948-44E9FEDAACEC}" xr6:coauthVersionLast="47" xr6:coauthVersionMax="47" xr10:uidLastSave="{00000000-0000-0000-0000-000000000000}"/>
  <bookViews>
    <workbookView xWindow="-120" yWindow="-120" windowWidth="29040" windowHeight="15840" tabRatio="816" xr2:uid="{00000000-000D-0000-FFFF-FFFF00000000}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1'!$B$6:$U$351</definedName>
    <definedName name="_Hlk155693198" localSheetId="0">'Plan Adqu ICFE 2024 VR 1'!$M$135</definedName>
    <definedName name="_xlnm.Print_Titles" localSheetId="0">'Plan Adqu ICFE 2024 VR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1" i="11" l="1"/>
  <c r="R77" i="11" s="1"/>
  <c r="R274" i="11"/>
  <c r="R267" i="11"/>
  <c r="R246" i="11"/>
  <c r="R255" i="11"/>
  <c r="R134" i="11"/>
  <c r="R133" i="11"/>
  <c r="R117" i="11"/>
  <c r="R112" i="11" l="1"/>
  <c r="R76" i="11"/>
  <c r="R121" i="11"/>
  <c r="R82" i="11"/>
  <c r="R158" i="11"/>
  <c r="R146" i="11"/>
  <c r="R276" i="11"/>
  <c r="R277" i="11"/>
  <c r="R275" i="11" l="1"/>
  <c r="R287" i="11"/>
  <c r="R283" i="11"/>
  <c r="R272" i="11"/>
  <c r="R273" i="11"/>
  <c r="R271" i="11"/>
  <c r="R270" i="11" s="1"/>
  <c r="R351" i="11"/>
  <c r="R333" i="11"/>
  <c r="R342" i="11"/>
  <c r="R341" i="11"/>
  <c r="R332" i="11"/>
  <c r="R331" i="11"/>
  <c r="R329" i="11"/>
  <c r="R330" i="11"/>
  <c r="R328" i="11"/>
  <c r="R315" i="11"/>
  <c r="R321" i="11"/>
  <c r="R314" i="11"/>
  <c r="R313" i="11"/>
  <c r="R312" i="11"/>
  <c r="R349" i="11"/>
  <c r="R344" i="11"/>
  <c r="R346" i="11"/>
  <c r="R75" i="11" l="1"/>
  <c r="R226" i="11"/>
  <c r="R227" i="11"/>
  <c r="R336" i="11" l="1"/>
  <c r="R337" i="11"/>
  <c r="R335" i="11" l="1"/>
  <c r="R340" i="11"/>
  <c r="R338" i="11"/>
  <c r="R334" i="11"/>
  <c r="R339" i="11"/>
  <c r="R136" i="11" l="1"/>
  <c r="R138" i="11"/>
  <c r="R205" i="11" l="1"/>
  <c r="R204" i="11" s="1"/>
  <c r="R202" i="11"/>
  <c r="R201" i="11" s="1"/>
  <c r="R199" i="11"/>
  <c r="R186" i="11"/>
  <c r="R153" i="11"/>
  <c r="R99" i="11"/>
  <c r="R98" i="11" s="1"/>
  <c r="R95" i="11"/>
  <c r="M301" i="11" l="1"/>
  <c r="M299" i="11"/>
  <c r="M297" i="11"/>
  <c r="R141" i="11" l="1"/>
  <c r="R137" i="11"/>
  <c r="R135" i="11"/>
  <c r="R130" i="11"/>
  <c r="R126" i="11"/>
  <c r="R124" i="11"/>
  <c r="R123" i="11"/>
  <c r="R122" i="11"/>
  <c r="R118" i="11"/>
  <c r="R111" i="11"/>
  <c r="R110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5" i="11" l="1"/>
  <c r="R238" i="11"/>
  <c r="R172" i="11"/>
  <c r="R215" i="11" l="1"/>
  <c r="R209" i="11"/>
  <c r="R311" i="11"/>
  <c r="R327" i="11"/>
  <c r="R115" i="11"/>
  <c r="R143" i="11"/>
  <c r="R109" i="11"/>
  <c r="R286" i="11" l="1"/>
  <c r="R285" i="11" s="1"/>
  <c r="R284" i="11" s="1"/>
  <c r="R326" i="11"/>
  <c r="T326" i="11" s="1"/>
  <c r="R310" i="11"/>
  <c r="T310" i="11" s="1"/>
  <c r="R305" i="11"/>
  <c r="R302" i="11"/>
  <c r="R300" i="11"/>
  <c r="R298" i="11"/>
  <c r="R296" i="11"/>
  <c r="R291" i="11"/>
  <c r="R289" i="11"/>
  <c r="R281" i="11"/>
  <c r="R280" i="11" s="1"/>
  <c r="R279" i="11" s="1"/>
  <c r="R259" i="11"/>
  <c r="R258" i="11" s="1"/>
  <c r="R257" i="11" s="1"/>
  <c r="R254" i="11"/>
  <c r="R253" i="11" s="1"/>
  <c r="R252" i="11" s="1"/>
  <c r="R250" i="11"/>
  <c r="R249" i="11" s="1"/>
  <c r="R248" i="11" s="1"/>
  <c r="R245" i="11"/>
  <c r="R244" i="11" s="1"/>
  <c r="R243" i="11" s="1"/>
  <c r="R234" i="11"/>
  <c r="R220" i="11"/>
  <c r="R218" i="11"/>
  <c r="R214" i="11"/>
  <c r="R212" i="11"/>
  <c r="R208" i="11" s="1"/>
  <c r="R198" i="11"/>
  <c r="R192" i="11"/>
  <c r="R190" i="11"/>
  <c r="R189" i="11" s="1"/>
  <c r="R185" i="11"/>
  <c r="R183" i="11"/>
  <c r="R182" i="11" s="1"/>
  <c r="R179" i="11"/>
  <c r="R178" i="11" s="1"/>
  <c r="R168" i="11"/>
  <c r="R166" i="11"/>
  <c r="R162" i="11"/>
  <c r="R161" i="11" s="1"/>
  <c r="R160" i="11" s="1"/>
  <c r="R157" i="11"/>
  <c r="R145" i="11"/>
  <c r="R108" i="11"/>
  <c r="R105" i="11"/>
  <c r="R104" i="11" s="1"/>
  <c r="R91" i="11"/>
  <c r="R87" i="11"/>
  <c r="R85" i="1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4" i="11"/>
  <c r="R113" i="11" s="1"/>
  <c r="R43" i="11"/>
  <c r="R84" i="11"/>
  <c r="R69" i="11" s="1"/>
  <c r="R224" i="11"/>
  <c r="R223" i="11" s="1"/>
  <c r="R152" i="11"/>
  <c r="R49" i="11"/>
  <c r="R266" i="11"/>
  <c r="R256" i="11" s="1"/>
  <c r="R217" i="11"/>
  <c r="R288" i="11"/>
  <c r="R54" i="11"/>
  <c r="R165" i="11"/>
  <c r="R164" i="11" s="1"/>
  <c r="R59" i="11"/>
  <c r="R90" i="11"/>
  <c r="R197" i="11"/>
  <c r="R177" i="11"/>
  <c r="R295" i="11"/>
  <c r="R294" i="11" s="1"/>
  <c r="R309" i="11"/>
  <c r="R308" i="11" s="1"/>
  <c r="R307" i="11" s="1"/>
  <c r="T307" i="11" s="1"/>
  <c r="R103" i="11"/>
  <c r="R102" i="11" s="1"/>
  <c r="R101" i="11" s="1"/>
  <c r="R247" i="11"/>
  <c r="R9" i="11" l="1"/>
  <c r="R293" i="11"/>
  <c r="R42" i="11"/>
  <c r="R25" i="11" s="1"/>
  <c r="R107" i="11"/>
  <c r="R89" i="11" s="1"/>
  <c r="R196" i="11"/>
  <c r="R222" i="11"/>
  <c r="R8" i="11" l="1"/>
  <c r="R195" i="11"/>
  <c r="R24" i="11"/>
  <c r="R7" i="11" s="1"/>
  <c r="R194" i="11" l="1"/>
  <c r="T194" i="11" s="1"/>
  <c r="T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Adriano Arteaga Velasquez</author>
    <author>Miller Orlando Moreno Suarez</author>
    <author>Raul Atehortua Puerta</author>
  </authors>
  <commentList>
    <comment ref="L6" authorId="0" shapeId="0" xr:uid="{00000000-0006-0000-0000-000001000000}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 xr:uid="{00000000-0006-0000-0000-000002000000}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 xr:uid="{00000000-0006-0000-0000-000003000000}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 xr:uid="{00000000-0006-0000-0000-000004000000}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 xr:uid="{00000000-0006-0000-0000-000005000000}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 xr:uid="{00000000-0006-0000-0000-000006000000}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 xr:uid="{00000000-0006-0000-0000-000007000000}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 xr:uid="{00000000-0006-0000-0000-000008000000}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78" authorId="2" shapeId="0" xr:uid="{36FAFA5D-2244-41DF-B12E-1A0B54C3C365}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>Se recibe de:</t>
        </r>
        <r>
          <rPr>
            <sz val="9"/>
            <color indexed="81"/>
            <rFont val="Tahoma"/>
            <family val="2"/>
          </rPr>
          <t xml:space="preserve"> ADQUISICION DE LICENCIAMIENTO PARA LA INTEGRACIÓN DE FIRMAS ELECTRONICAS.</t>
        </r>
      </text>
    </comment>
    <comment ref="R81" authorId="1" shapeId="0" xr:uid="{CCCB3CFA-7B01-40C0-9668-A1E19C056C0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 xml:space="preserve">ADQUISICION DE LICENCIAMIENTO PARA LA INTEGRACIÓN DE FIRMAS ELECTRONICAS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Certificados digitales para las firmas de contratos de arrendamiento en Bogotá  y a nivel nacional.</t>
        </r>
      </text>
    </comment>
    <comment ref="R82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SOPORTE Y MANTENIMIENTO ESPECIALIZADO SOBRE LA INFRAESTRUCTURA DE SERVIDORES INFORMATICOS</t>
        </r>
      </text>
    </comment>
    <comment ref="R112" authorId="1" shapeId="0" xr:uid="{3827803D-C1BC-4646-97B6-1030B955157E}">
      <text>
        <r>
          <rPr>
            <sz val="9"/>
            <color indexed="81"/>
            <rFont val="Tahoma"/>
            <family val="2"/>
          </rPr>
          <t>Se revisa con la ejecución del 19 de marzo diferencia 150.000</t>
        </r>
      </text>
    </comment>
    <comment ref="R117" authorId="1" shapeId="0" xr:uid="{63491257-5033-4AE5-BB61-FC3E0550498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
Se revisa con la ejecución del 19 de marzo diferencia 150.000</t>
        </r>
      </text>
    </comment>
    <comment ref="M118" authorId="1" shapeId="0" xr:uid="{59C172D1-6490-4698-B2E9-9D6A3284344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family val="2"/>
          </rPr>
          <t xml:space="preserve">
Se cambia objeto: </t>
        </r>
        <r>
          <rPr>
            <sz val="9"/>
            <color indexed="81"/>
            <rFont val="Tahoma"/>
            <family val="2"/>
          </rPr>
      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1" authorId="1" shapeId="0" xr:uid="{32FD6CF2-745E-4B71-BF7F-87DE5D0877C8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33" authorId="1" shapeId="0" xr:uid="{28621AAB-38A6-48B7-9F0F-FC32EA8D373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SOPORTE Y MANTENIMIENTO ERP SAP</t>
        </r>
      </text>
    </comment>
    <comment ref="R134" authorId="1" shapeId="0" xr:uid="{2D3EAA68-94B1-4B41-8D28-9EA482239E5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CONSULTORÍA PARA LA ACTUALIZACIÓN DE LOS ACTIVOS DE INFORMACIÓN Y EL PLAN DE CONTINUIDAD, CON SU RESPECTIVO ANÁLISIS DE RIESGOS DE LA INFORMACIÓN PARA TODOS LOS PROCESOS DE LA ENTIDAD DEL INSITUTO DE CASAS FISCALES DEL EJÉRCITO
</t>
        </r>
      </text>
    </comment>
    <comment ref="R146" authorId="1" shapeId="0" xr:uid="{BF6A7568-9864-4CE6-8A28-42D8CC81E3F1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7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1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58" authorId="1" shapeId="0" xr:uid="{CAB09A34-8C4B-41B4-A9F8-E7AF0A116B9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1" authorId="1" shapeId="0" xr:uid="{941AF196-B58B-4061-BA34-62F9456960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5" authorId="1" shapeId="0" xr:uid="{A526B486-D846-4B75-88AE-31686E171F4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M180" authorId="1" shapeId="0" xr:uid="{F4FBCB73-4554-434E-B93F-FD335E55F0C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98600
</t>
        </r>
        <r>
          <rPr>
            <b/>
            <sz val="9"/>
            <color indexed="81"/>
            <rFont val="Tahoma"/>
            <family val="2"/>
          </rPr>
          <t xml:space="preserve">Cambio objeto: </t>
        </r>
        <r>
          <rPr>
            <sz val="9"/>
            <color indexed="81"/>
            <rFont val="Tahoma"/>
            <family val="2"/>
          </rPr>
          <t xml:space="preserve">SERVICIOS DE CAPACITACIÓN PARA EL PERSONAL EMPLEADOS PÚBLICOS Y TRABAJADORES OFICIALES DEL ICFE
</t>
        </r>
      </text>
    </comment>
    <comment ref="R226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7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29" authorId="1" shapeId="0" xr:uid="{963AB975-BD67-4EF6-94E0-3DEE498C9BB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1" authorId="1" shapeId="0" xr:uid="{3ED798B7-764D-4B81-B5B1-B170FBA9457D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R246" authorId="1" shapeId="0" xr:uid="{87B1275A-53FA-4FC8-A67A-0EA55F4BA3EB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$ 1.400.000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ADMINISTRACIÓN DE CONJUNTOS RESIDENCIALES 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$ 20.500.000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PRESTACIÓN DE SERVICIOS PROFESIONALES PARA LA ACTUALIZACIÓN DE LOS DOCUMENTOS DEL SISTEMA DE GESTION DE LA CALIDAD DEL ICFE</t>
        </r>
      </text>
    </comment>
    <comment ref="R255" authorId="1" shapeId="0" xr:uid="{B663C24E-B1F0-4F9D-96FE-1FC4746DE54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$ 1.400.000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AUXILIAR DE ALMACEN</t>
        </r>
      </text>
    </comment>
    <comment ref="R262" authorId="1" shapeId="0" xr:uid="{09876399-B6D2-475D-8673-7E373E94366B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$ 20.500.000
</t>
        </r>
        <r>
          <rPr>
            <b/>
            <sz val="9"/>
            <color indexed="81"/>
            <rFont val="Tahoma"/>
            <family val="2"/>
          </rPr>
          <t>Se traslada de:</t>
        </r>
        <r>
          <rPr>
            <sz val="9"/>
            <color indexed="81"/>
            <rFont val="Tahoma"/>
            <family val="2"/>
          </rPr>
          <t xml:space="preserve"> 
SERVICIOS DE AUXILIAR DE ALMACEN</t>
        </r>
      </text>
    </comment>
    <comment ref="T268" authorId="1" shapeId="0" xr:uid="{404C28BA-A728-45AD-AF95-587195AA183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69" authorId="2" shapeId="0" xr:uid="{95690CAF-247E-446A-9C76-5B31081A50C9}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Se traslada de: 
SERVICIOS DE SOPORTE
Oficio: 101586
Valor: $ 1,847,957,40 (SE TRASLADA DE ELEMENTO A SESVICIOS DE LIMPIEZA NACIONAL)</t>
        </r>
      </text>
    </comment>
    <comment ref="R271" authorId="1" shapeId="0" xr:uid="{B5330454-8652-45EE-AF23-C652126CB98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2" authorId="1" shapeId="0" xr:uid="{636B4544-F417-4CE6-8EE7-F2090F50E9E3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3" authorId="1" shapeId="0" xr:uid="{CC328AB2-FC6B-413E-B8FB-109E25CAB9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4" authorId="1" shapeId="0" xr:uid="{DDEDB929-5554-4285-B7E8-BA22752460C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101586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1,847,957,40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 DE VIGILANCIA Y SEGURIDAD PRIVADA SIN ARMAS PARA EL CONJUNTO RESIDENCIAL “HEROES DE COLOMBIA” EN LA CIUDAD DE BOGOTÁ (Vigencias futuras del 2023-2024)
</t>
        </r>
      </text>
    </comment>
    <comment ref="R275" authorId="1" shapeId="0" xr:uid="{1E8FC96D-F0CB-40C5-AB7B-A34CC7AE5EF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5" authorId="1" shapeId="0" xr:uid="{79739F18-49B9-4FD5-A80B-5B8893BB143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6" authorId="1" shapeId="0" xr:uid="{EA607CD5-097B-4EB7-89C2-C371A63E58D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6" authorId="1" shapeId="0" xr:uid="{AFB27C76-C9E3-41D5-A27B-C572CD0D6B0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7" authorId="1" shapeId="0" xr:uid="{98E17BA5-7E62-43EB-A709-20ECF761B7C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3" authorId="1" shapeId="0" xr:uid="{57A9BDCC-3D82-4ED0-838C-BF476CD9DDC8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7" authorId="1" shapeId="0" xr:uid="{CC5FE041-1E11-433B-BB41-DF1D4D094362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2" authorId="1" shapeId="0" xr:uid="{BA9114F1-A619-46E4-88B7-5B753EEC4ABD}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3" authorId="1" shapeId="0" xr:uid="{5AEA87FB-503F-4044-A472-F45CC06706EA}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4" authorId="1" shapeId="0" xr:uid="{FDA9ACA0-C3E6-4F8D-9CFF-3F41CEC47BA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5" authorId="1" shapeId="0" xr:uid="{137177A1-84A4-4A56-88CF-558515084C0A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6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20" authorId="1" shapeId="0" xr:uid="{BD3205C6-7856-4677-B4A4-CD5AE12F8FF3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20" authorId="1" shapeId="0" xr:uid="{E3DF33B8-5A4B-4B13-89AE-D6C6B37DEFBF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20" authorId="1" shapeId="0" xr:uid="{FDEB5A89-701F-45C9-A28A-C106D059F03D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20" authorId="1" shapeId="0" xr:uid="{3B1E4FAE-62BD-4E1E-813B-C343EDDF61B2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0" authorId="1" shapeId="0" xr:uid="{FF0E3C4F-A906-48E8-99A4-457068AB1636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0" authorId="1" shapeId="0" xr:uid="{13198D3A-A66A-4151-A062-1CA61249A546}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20" authorId="1" shapeId="0" xr:uid="{87694A80-8FDC-41BE-8678-850970B438AD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20" authorId="1" shapeId="0" xr:uid="{19967D3E-A332-40AA-90C6-CF802187184F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21" authorId="1" shapeId="0" xr:uid="{94BD3F6E-CD21-45A3-8914-8BF17CB74D98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21" authorId="1" shapeId="0" xr:uid="{F061424E-D323-482D-9018-ED41D8F959D0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21" authorId="1" shapeId="0" xr:uid="{C0F6EEE9-DD0E-42A7-985E-00F8435B4119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21" authorId="1" shapeId="0" xr:uid="{DE015C58-5A96-4F07-9DDA-85DE561DF165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1" authorId="1" shapeId="0" xr:uid="{4BFA9464-9B6A-46E5-84AC-422F883113F3}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1" authorId="1" shapeId="0" xr:uid="{C3882A42-946E-42A4-9EEC-FCED549AF31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21" authorId="1" shapeId="0" xr:uid="{8981E12D-A7F8-4B5A-B1D6-A7ECEDF44048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21" authorId="1" shapeId="0" xr:uid="{F8BDE3A3-E30C-4517-AD5A-55FB475D1F69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8" authorId="1" shapeId="0" xr:uid="{ED93F0CE-B06B-4851-B084-B4E6CAF8826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29" authorId="1" shapeId="0" xr:uid="{7F623C90-322E-4E01-85EA-A6E06513913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30" authorId="1" shapeId="0" xr:uid="{69A4B9E6-2B82-479E-BEF5-61909D2FB62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31" authorId="1" shapeId="0" xr:uid="{7FC4CCB5-5401-49EC-8C8B-0FAFC6FC2F95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2" authorId="1" shapeId="0" xr:uid="{FF523BB4-E4C9-414B-92A2-C5B1876758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3" authorId="1" shapeId="0" xr:uid="{DBB21A28-DC51-4955-B62E-D9649772849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4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5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6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7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8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9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40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41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2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4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4" authorId="1" shapeId="0" xr:uid="{7C0A02D0-F95A-48A4-8C10-3E6FB869A3B9}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6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6" authorId="1" shapeId="0" xr:uid="{4D9872E2-A4CF-4D46-86A8-EDF53ABFF9E9}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48" authorId="1" shapeId="0" xr:uid="{00000000-0006-0000-0000-00001E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49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50" authorId="1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51" authorId="1" shapeId="0" xr:uid="{274D3029-0A13-4F43-B9F0-C3A3A886E739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<sst xmlns="http://schemas.openxmlformats.org/spreadsheetml/2006/main" count="168420" uniqueCount="113313">
  <si>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</si>
  <si>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</si>
  <si>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</si>
  <si>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</si>
  <si>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</si>
  <si>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</si>
  <si>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</si>
  <si>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</si>
  <si>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</si>
  <si>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</si>
  <si>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</si>
  <si>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</si>
  <si>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</si>
  <si>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</si>
  <si>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</si>
  <si>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</si>
  <si>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</si>
  <si>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</si>
  <si>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</si>
  <si>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</si>
  <si>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</si>
  <si>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</si>
  <si>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</si>
  <si>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</si>
  <si>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</si>
  <si>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</si>
  <si>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</si>
  <si>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</si>
  <si>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</si>
  <si>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</si>
  <si>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</si>
  <si>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</si>
  <si>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</si>
  <si>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</si>
  <si>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</si>
  <si>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</si>
  <si>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</si>
  <si>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</si>
  <si>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</si>
  <si>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</si>
  <si>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</si>
  <si>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</si>
  <si>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</si>
  <si>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</si>
  <si>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</si>
  <si>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</si>
  <si>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</si>
  <si>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</si>
  <si>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</si>
  <si>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</si>
  <si>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</si>
  <si>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</si>
  <si>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</si>
  <si>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</si>
  <si>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</si>
  <si>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</si>
  <si>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</si>
  <si>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</si>
  <si>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</si>
  <si>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</si>
  <si>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</si>
  <si>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</si>
  <si>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</si>
  <si>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</si>
  <si>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</si>
  <si>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</si>
  <si>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</si>
  <si>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</si>
  <si>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</si>
  <si>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</si>
  <si>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</si>
  <si>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</si>
  <si>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</si>
  <si>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</si>
  <si>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</si>
  <si>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</si>
  <si>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</si>
  <si>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</si>
  <si>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</si>
  <si>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</si>
  <si>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</si>
  <si>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</si>
  <si>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</si>
  <si>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</si>
  <si>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</si>
  <si>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</si>
  <si>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</si>
  <si>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</si>
  <si>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</si>
  <si>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</si>
  <si>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</si>
  <si>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</si>
  <si>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</si>
  <si>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</si>
  <si>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</si>
  <si>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</si>
  <si>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</si>
  <si>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</si>
  <si>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</si>
  <si>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</si>
  <si>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</si>
  <si>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</si>
  <si>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</si>
  <si>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</si>
  <si>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</si>
  <si>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</si>
  <si>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</si>
  <si>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</si>
  <si>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</si>
  <si>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</si>
  <si>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</si>
  <si>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</si>
  <si>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</si>
  <si>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</si>
  <si>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</si>
  <si>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</si>
  <si>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</si>
  <si>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</si>
  <si>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</si>
  <si>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</si>
  <si>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</si>
  <si>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</si>
  <si>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</si>
  <si>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</si>
  <si>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</si>
  <si>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</si>
  <si>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</si>
  <si>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</si>
  <si>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</si>
  <si>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</si>
  <si>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</si>
  <si>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</si>
  <si>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</si>
  <si>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</si>
  <si>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</si>
  <si>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</si>
  <si>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</si>
  <si>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</si>
  <si>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</si>
  <si>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</si>
  <si>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</si>
  <si>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</si>
  <si>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</si>
  <si>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</si>
  <si>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</si>
  <si>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</si>
  <si>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</si>
  <si>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</si>
  <si>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</si>
  <si>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</si>
  <si>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</si>
  <si>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</si>
  <si>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</si>
  <si>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</si>
  <si>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</si>
  <si>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</si>
  <si>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</si>
  <si>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</si>
  <si>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</si>
  <si>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</si>
  <si>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</si>
  <si>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</si>
  <si>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</si>
  <si>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</si>
  <si>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</si>
  <si>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</si>
  <si>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</si>
  <si>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</si>
  <si>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</si>
  <si>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</si>
  <si>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</si>
  <si>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</si>
  <si>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</si>
  <si>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</si>
  <si>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</si>
  <si>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</si>
  <si>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</si>
  <si>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</si>
  <si>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</si>
  <si>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</si>
  <si>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</si>
  <si>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</si>
  <si>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</si>
  <si>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</si>
  <si>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</si>
  <si>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</si>
  <si>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</si>
  <si>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</si>
  <si>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</si>
  <si>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</si>
  <si>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</si>
  <si>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</si>
  <si>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</si>
  <si>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</si>
  <si>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</si>
  <si>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</si>
  <si>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</si>
  <si>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</si>
  <si>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</si>
  <si>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</si>
  <si>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</si>
  <si>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</si>
  <si>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</si>
  <si>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</si>
  <si>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</si>
  <si>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</si>
  <si>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</si>
  <si>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</si>
  <si>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</si>
  <si>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</si>
  <si>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</si>
  <si>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</si>
  <si>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</si>
  <si>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</si>
  <si>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</si>
  <si>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</si>
  <si>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</si>
  <si>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</si>
  <si>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</si>
  <si>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</si>
  <si>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</si>
  <si>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</si>
  <si>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</si>
  <si>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</si>
  <si>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</si>
  <si>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</si>
  <si>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</si>
  <si>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</si>
  <si>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</si>
  <si>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</si>
  <si>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</si>
  <si>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</si>
  <si>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</si>
  <si>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</si>
  <si>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</si>
  <si>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</si>
  <si>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</si>
  <si>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</si>
  <si>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</si>
  <si>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</si>
  <si>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</si>
  <si>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</si>
  <si>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</si>
  <si>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</si>
  <si>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</si>
  <si>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</si>
  <si>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</si>
  <si>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</si>
  <si>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</si>
  <si>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</si>
  <si>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</si>
  <si>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</si>
  <si>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</si>
  <si>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</si>
  <si>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</si>
  <si>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</si>
  <si>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</si>
  <si>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</si>
  <si>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</si>
  <si>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</si>
  <si>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</si>
  <si>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</si>
  <si>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</si>
  <si>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</si>
  <si>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</si>
  <si>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</si>
  <si>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</si>
  <si>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</si>
  <si>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</si>
  <si>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</si>
  <si>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</si>
  <si>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</si>
  <si>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</si>
  <si>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</si>
  <si>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</si>
  <si>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</si>
  <si>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</si>
  <si>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</si>
  <si>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</si>
  <si>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</si>
  <si>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</si>
  <si>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</si>
  <si>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</si>
  <si>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</si>
  <si>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</si>
  <si>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</si>
  <si>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</si>
  <si>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</si>
  <si>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</si>
  <si>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</si>
  <si>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</si>
  <si>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</si>
  <si>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</si>
  <si>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</si>
  <si>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</si>
  <si>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</si>
  <si>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</si>
  <si>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</si>
  <si>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</si>
  <si>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</si>
  <si>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</si>
  <si>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</si>
  <si>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</si>
  <si>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</si>
  <si>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</si>
  <si>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</si>
  <si>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</si>
  <si>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</si>
  <si>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</si>
  <si>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</si>
  <si>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</si>
  <si>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</si>
  <si>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</si>
  <si>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</si>
  <si>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</si>
  <si>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</si>
  <si>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</si>
  <si>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</si>
  <si>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</si>
  <si>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</si>
  <si>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</si>
  <si>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</si>
  <si>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</si>
  <si>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</si>
  <si>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</si>
  <si>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</si>
  <si>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</si>
  <si>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</si>
  <si>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</si>
  <si>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</si>
  <si>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</si>
  <si>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</si>
  <si>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</si>
  <si>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</si>
  <si>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</si>
  <si>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</si>
  <si>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</si>
  <si>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</si>
  <si>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</si>
  <si>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</si>
  <si>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</si>
  <si>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</si>
  <si>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</si>
  <si>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</si>
  <si>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</si>
  <si>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</si>
  <si>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</si>
  <si>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</si>
  <si>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</si>
  <si>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</si>
  <si>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</si>
  <si>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</si>
  <si>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</si>
  <si>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</si>
  <si>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</si>
  <si>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</si>
  <si>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</si>
  <si>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</si>
  <si>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</si>
  <si>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</si>
  <si>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</si>
  <si>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</si>
  <si>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</si>
  <si>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</si>
  <si>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</si>
  <si>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</si>
  <si>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</si>
  <si>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</si>
  <si>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</si>
  <si>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</si>
  <si>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</si>
  <si>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</si>
  <si>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</si>
  <si>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</si>
  <si>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</si>
  <si>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</si>
  <si>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</si>
  <si>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</si>
  <si>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</si>
  <si>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</si>
  <si>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</si>
  <si>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</si>
  <si>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</si>
  <si>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</si>
  <si>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</si>
  <si>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</si>
  <si>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</si>
  <si>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</si>
  <si>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</si>
  <si>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</si>
  <si>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</si>
  <si>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</si>
  <si>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</si>
  <si>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</si>
  <si>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</si>
  <si>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</si>
  <si>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</si>
  <si>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</si>
  <si>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</si>
  <si>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</si>
  <si>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</si>
  <si>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</si>
  <si>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</si>
  <si>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</si>
  <si>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</si>
  <si>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</si>
  <si>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</si>
  <si>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</si>
  <si>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</si>
  <si>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</si>
  <si>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</si>
  <si>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</si>
  <si>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</si>
  <si>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</si>
  <si>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</si>
  <si>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</si>
  <si>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</si>
  <si>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</si>
  <si>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</si>
  <si>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</si>
  <si>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</si>
  <si>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</si>
  <si>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</si>
  <si>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</si>
  <si>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</si>
  <si>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</si>
  <si>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</si>
  <si>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</si>
  <si>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</si>
  <si>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</si>
  <si>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</si>
  <si>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</si>
  <si>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</si>
  <si>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</si>
  <si>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</si>
  <si>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</si>
  <si>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</si>
  <si>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</si>
  <si>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</si>
  <si>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</si>
  <si>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</si>
  <si>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</si>
  <si>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</si>
  <si>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</si>
  <si>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</si>
  <si>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</si>
  <si>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</si>
  <si>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</si>
  <si>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</si>
  <si>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</si>
  <si>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</si>
  <si>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</si>
  <si>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</si>
  <si>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</si>
  <si>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</si>
  <si>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</si>
  <si>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</si>
  <si>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</si>
  <si>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</si>
  <si>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</si>
  <si>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</si>
  <si>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</si>
  <si>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</si>
  <si>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</si>
  <si>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</si>
  <si>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</si>
  <si>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</si>
  <si>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</si>
  <si>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</si>
  <si>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</si>
  <si>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</si>
  <si>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</si>
  <si>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</si>
  <si>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</si>
  <si>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</si>
  <si>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</si>
  <si>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</si>
  <si>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</si>
  <si>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</si>
  <si>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</si>
  <si>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</si>
  <si>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</si>
  <si>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</si>
  <si>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</si>
  <si>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</si>
  <si>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</si>
  <si>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</si>
  <si>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</si>
  <si>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</si>
  <si>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</si>
  <si>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</si>
  <si>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</si>
  <si>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</si>
  <si>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</si>
  <si>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</si>
  <si>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</si>
  <si>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</si>
  <si>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</si>
  <si>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</si>
  <si>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</si>
  <si>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</si>
  <si>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</si>
  <si>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</si>
  <si>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</si>
  <si>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</si>
  <si>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</si>
  <si>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</si>
  <si>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</si>
  <si>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</si>
  <si>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</si>
  <si>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</si>
  <si>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</si>
  <si>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</si>
  <si>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</si>
  <si>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</si>
  <si>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</si>
  <si>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</si>
  <si>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</si>
  <si>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</si>
  <si>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</si>
  <si>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</si>
  <si>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</si>
  <si>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</si>
  <si>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</si>
  <si>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</si>
  <si>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</si>
  <si>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</si>
  <si>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</si>
  <si>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</si>
  <si>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</si>
  <si>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</si>
  <si>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</si>
  <si>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</si>
  <si>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</si>
  <si>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</si>
  <si>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</si>
  <si>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</si>
  <si>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</si>
  <si>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</si>
  <si>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</si>
  <si>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</si>
  <si>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</si>
  <si>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</si>
  <si>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</si>
  <si>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</si>
  <si>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</si>
  <si>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</si>
  <si>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</si>
  <si>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</si>
  <si>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</si>
  <si>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</si>
  <si>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</si>
  <si>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</si>
  <si>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</si>
  <si>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</si>
  <si>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</si>
  <si>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</si>
  <si>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</si>
  <si>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</si>
  <si>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</si>
  <si>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</si>
  <si>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</si>
  <si>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</si>
  <si>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</si>
  <si>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</si>
  <si>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</si>
  <si>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</si>
  <si>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</si>
  <si>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</si>
  <si>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</si>
  <si>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</si>
  <si>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</si>
  <si>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</si>
  <si>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</si>
  <si>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</si>
  <si>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</si>
  <si>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</si>
  <si>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</si>
  <si>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</si>
  <si>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</si>
  <si>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</si>
  <si>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</si>
  <si>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</si>
  <si>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</si>
  <si>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</si>
  <si>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</si>
  <si>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</si>
  <si>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</si>
  <si>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</si>
  <si>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</si>
  <si>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</si>
  <si>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</si>
  <si>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</si>
  <si>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</si>
  <si>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</si>
  <si>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</si>
  <si>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</si>
  <si>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</si>
  <si>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</si>
  <si>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</si>
  <si>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</si>
  <si>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</si>
  <si>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</si>
  <si>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</si>
  <si>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</si>
  <si>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</si>
  <si>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</si>
  <si>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</si>
  <si>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</si>
  <si>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</si>
  <si>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</si>
  <si>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</si>
  <si>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</si>
  <si>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</si>
  <si>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</si>
  <si>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</si>
  <si>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</si>
  <si>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</si>
  <si>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</si>
  <si>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</si>
  <si>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</si>
  <si>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</si>
  <si>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</si>
  <si>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</si>
  <si>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</si>
  <si>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</si>
  <si>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</si>
  <si>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</si>
  <si>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</si>
  <si>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</si>
  <si>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</si>
  <si>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</si>
  <si>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</si>
  <si>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</si>
  <si>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</si>
  <si>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</si>
  <si>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</si>
  <si>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</si>
  <si>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</si>
  <si>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</si>
  <si>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</si>
  <si>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</si>
  <si>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</si>
  <si>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</si>
  <si>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</si>
  <si>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</si>
  <si>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</si>
  <si>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</si>
  <si>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</si>
  <si>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</si>
  <si>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</si>
  <si>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</si>
  <si>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</si>
  <si>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</si>
  <si>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</si>
  <si>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</si>
  <si>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</si>
  <si>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</si>
  <si>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</si>
  <si>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</si>
  <si>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</si>
  <si>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</si>
  <si>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</si>
  <si>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</si>
  <si>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</si>
  <si>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</si>
  <si>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</si>
  <si>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</si>
  <si>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</si>
  <si>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</si>
  <si>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</si>
  <si>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</si>
  <si>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</si>
  <si>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</si>
  <si>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</si>
  <si>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</si>
  <si>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</si>
  <si>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</si>
  <si>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</si>
  <si>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</si>
  <si>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</si>
  <si>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</si>
  <si>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</si>
  <si>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</si>
  <si>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</si>
  <si>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</si>
  <si>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</si>
  <si>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</si>
  <si>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</si>
  <si>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</si>
  <si>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</si>
  <si>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</si>
  <si>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</si>
  <si>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</si>
  <si>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</si>
  <si>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</si>
  <si>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</si>
  <si>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</si>
  <si>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</si>
  <si>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</si>
  <si>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</si>
  <si>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</si>
  <si>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</si>
  <si>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</si>
  <si>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</si>
  <si>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</si>
  <si>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</si>
  <si>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</si>
  <si>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</si>
  <si>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</si>
  <si>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</si>
  <si>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</si>
  <si>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</si>
  <si>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</si>
  <si>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</si>
  <si>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</si>
  <si>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</si>
  <si>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</si>
  <si>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</si>
  <si>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</si>
  <si>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</si>
  <si>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</si>
  <si>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</si>
  <si>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</si>
  <si>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</si>
  <si>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</si>
  <si>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</si>
  <si>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</si>
  <si>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</si>
  <si>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</si>
  <si>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</si>
  <si>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</si>
  <si>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</si>
  <si>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</si>
  <si>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</si>
  <si>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</si>
  <si>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</si>
  <si>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</si>
  <si>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</si>
  <si>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</si>
  <si>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</si>
  <si>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</si>
  <si>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</si>
  <si>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</si>
  <si>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</si>
  <si>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</si>
  <si>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</si>
  <si>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</si>
  <si>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</si>
  <si>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</si>
  <si>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</si>
  <si>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</si>
  <si>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</si>
  <si>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</si>
  <si>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</si>
  <si>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</si>
  <si>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</si>
  <si>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</si>
  <si>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</si>
  <si>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</si>
  <si>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</si>
  <si>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</si>
  <si>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</si>
  <si>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</si>
  <si>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</si>
  <si>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</si>
  <si>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</si>
  <si>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</si>
  <si>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</si>
  <si>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</si>
  <si>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</si>
  <si>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</si>
  <si>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</si>
  <si>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</si>
  <si>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</si>
  <si>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</si>
  <si>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</si>
  <si>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</si>
  <si>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</si>
  <si>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</si>
  <si>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</si>
  <si>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</si>
  <si>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</si>
  <si>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</si>
  <si>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</si>
  <si>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</si>
  <si>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</si>
  <si>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</si>
  <si>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</si>
  <si>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</si>
  <si>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</si>
  <si>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</si>
  <si>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</si>
  <si>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</si>
  <si>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</si>
  <si>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</si>
  <si>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</si>
  <si>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</si>
  <si>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</si>
  <si>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</si>
  <si>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</si>
  <si>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</si>
  <si>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</si>
  <si>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</si>
  <si>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</si>
  <si>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</si>
  <si>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</si>
  <si>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</si>
  <si>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</si>
  <si>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</si>
  <si>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</si>
  <si>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</si>
  <si>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</si>
  <si>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</si>
  <si>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</si>
  <si>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</si>
  <si>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</si>
  <si>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</si>
  <si>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</si>
  <si>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</si>
  <si>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</si>
  <si>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</si>
  <si>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</si>
  <si>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</si>
  <si>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</si>
  <si>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</si>
  <si>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</si>
  <si>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</si>
  <si>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</si>
  <si>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</si>
  <si>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</si>
  <si>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</si>
  <si>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</si>
  <si>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</si>
  <si>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</si>
  <si>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</si>
  <si>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</si>
  <si>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</si>
  <si>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</si>
  <si>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</si>
  <si>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</si>
  <si>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</si>
  <si>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</si>
  <si>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</si>
  <si>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</si>
  <si>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</si>
  <si>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</si>
  <si>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</si>
  <si>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</si>
  <si>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</si>
  <si>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</si>
  <si>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</si>
  <si>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</si>
  <si>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</si>
  <si>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</si>
  <si>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</si>
  <si>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</si>
  <si>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</si>
  <si>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</si>
  <si>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</si>
  <si>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</si>
  <si>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</si>
  <si>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</si>
  <si>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</si>
  <si>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</si>
  <si>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</si>
  <si>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</si>
  <si>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</si>
  <si>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</si>
  <si>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</si>
  <si>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</si>
  <si>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</si>
  <si>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</si>
  <si>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</si>
  <si>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</si>
  <si>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</si>
  <si>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</si>
  <si>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</si>
  <si>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</si>
  <si>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</si>
  <si>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</si>
  <si>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</si>
  <si>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</si>
  <si>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</si>
  <si>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</si>
  <si>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</si>
  <si>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</si>
  <si>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</si>
  <si>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</si>
  <si>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</si>
  <si>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</si>
  <si>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</si>
  <si>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</si>
  <si>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</si>
  <si>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</si>
  <si>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</si>
  <si>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</si>
  <si>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</si>
  <si>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</si>
  <si>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</si>
  <si>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</si>
  <si>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</si>
  <si>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</si>
  <si>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</si>
  <si>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</si>
  <si>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</si>
  <si>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</si>
  <si>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</si>
  <si>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</si>
  <si>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</si>
  <si>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</si>
  <si>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</si>
  <si>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</si>
  <si>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</si>
  <si>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</si>
  <si>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</si>
  <si>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</si>
  <si>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</si>
  <si>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</si>
  <si>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</si>
  <si>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</si>
  <si>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</si>
  <si>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</si>
  <si>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</si>
  <si>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</si>
  <si>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</si>
  <si>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</si>
  <si>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</si>
  <si>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</si>
  <si>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</si>
  <si>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</si>
  <si>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</si>
  <si>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</si>
  <si>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</si>
  <si>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</si>
  <si>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</si>
  <si>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</si>
  <si>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</si>
  <si>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</si>
  <si>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</si>
  <si>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</si>
  <si>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</si>
  <si>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</si>
  <si>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</si>
  <si>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</si>
  <si>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</si>
  <si>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</si>
  <si>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</si>
  <si>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</si>
  <si>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</si>
  <si>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</si>
  <si>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</si>
  <si>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</si>
  <si>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</si>
  <si>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</si>
  <si>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</si>
  <si>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</si>
  <si>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</si>
  <si>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</si>
  <si>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</si>
  <si>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</si>
  <si>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</si>
  <si>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</si>
  <si>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</si>
  <si>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</si>
  <si>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</si>
  <si>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</si>
  <si>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</si>
  <si>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</si>
  <si>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</si>
  <si>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</si>
  <si>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</si>
  <si>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</si>
  <si>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</si>
  <si>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</si>
  <si>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</si>
  <si>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</si>
  <si>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</si>
  <si>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</si>
  <si>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</si>
  <si>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</si>
  <si>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</si>
  <si>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</si>
  <si>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</si>
  <si>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</si>
  <si>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</si>
  <si>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</si>
  <si>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</si>
  <si>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</si>
  <si>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</si>
  <si>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</si>
  <si>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</si>
  <si>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</si>
  <si>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</si>
  <si>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</si>
  <si>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</si>
  <si>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</si>
  <si>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</si>
  <si>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</si>
  <si>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</si>
  <si>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</si>
  <si>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</si>
  <si>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</si>
  <si>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</si>
  <si>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</si>
  <si>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</si>
  <si>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</si>
  <si>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</si>
  <si>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</si>
  <si>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</si>
  <si>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</si>
  <si>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</si>
  <si>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</si>
  <si>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</si>
  <si>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</si>
  <si>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</si>
  <si>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</si>
  <si>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</si>
  <si>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</si>
  <si>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</si>
  <si>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</si>
  <si>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</si>
  <si>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</si>
  <si>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</si>
  <si>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</si>
  <si>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</si>
  <si>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</si>
  <si>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</si>
  <si>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</si>
  <si>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</si>
  <si>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</si>
  <si>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</si>
  <si>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</si>
  <si>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</si>
  <si>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</si>
  <si>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</si>
  <si>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</si>
  <si>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</si>
  <si>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</si>
  <si>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</si>
  <si>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</si>
  <si>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</si>
  <si>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</si>
  <si>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</si>
  <si>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</si>
  <si>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</si>
  <si>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</si>
  <si>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</si>
  <si>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</si>
  <si>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</si>
  <si>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</si>
  <si>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</si>
  <si>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</si>
  <si>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</si>
  <si>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</si>
  <si>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</si>
  <si>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</si>
  <si>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</si>
  <si>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</si>
  <si>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</si>
  <si>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</si>
  <si>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</si>
  <si>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</si>
  <si>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</si>
  <si>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</si>
  <si>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</si>
  <si>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</si>
  <si>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</si>
  <si>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</si>
  <si>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</si>
  <si>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</si>
  <si>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</si>
  <si>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</si>
  <si>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</si>
  <si>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</si>
  <si>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</si>
  <si>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</si>
  <si>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</si>
  <si>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</si>
  <si>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</si>
  <si>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</si>
  <si>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</si>
  <si>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</si>
  <si>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</si>
  <si>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</si>
  <si>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</si>
  <si>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</si>
  <si>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</si>
  <si>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</si>
  <si>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</si>
  <si>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</si>
  <si>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</si>
  <si>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</si>
  <si>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</si>
  <si>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</si>
  <si>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</si>
  <si>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</si>
  <si>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</si>
  <si>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</si>
  <si>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</si>
  <si>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</si>
  <si>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</si>
  <si>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</si>
  <si>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</si>
  <si>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</si>
  <si>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</si>
  <si>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</si>
  <si>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</si>
  <si>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</si>
  <si>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</si>
  <si>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</si>
  <si>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</si>
  <si>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</si>
  <si>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</si>
  <si>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</si>
  <si>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</si>
  <si>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</si>
  <si>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</si>
  <si>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</si>
  <si>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</si>
  <si>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</si>
  <si>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</si>
  <si>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</si>
  <si>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</si>
  <si>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</si>
  <si>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</si>
  <si>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</si>
  <si>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</si>
  <si>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</si>
  <si>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</si>
  <si>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</si>
  <si>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</si>
  <si>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</si>
  <si>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</si>
  <si>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</si>
  <si>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</si>
  <si>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</si>
  <si>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</si>
  <si>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</si>
  <si>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</si>
  <si>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</si>
  <si>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</si>
  <si>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</si>
  <si>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</si>
  <si>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</si>
  <si>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</si>
  <si>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</si>
  <si>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</si>
  <si>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</si>
  <si>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</si>
  <si>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</si>
  <si>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</si>
  <si>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</si>
  <si>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</si>
  <si>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</si>
  <si>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</si>
  <si>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</si>
  <si>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</si>
  <si>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</si>
  <si>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</si>
  <si>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</si>
  <si>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</si>
  <si>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</si>
  <si>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</si>
  <si>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</si>
  <si>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</si>
  <si>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</si>
  <si>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</si>
  <si>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</si>
  <si>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</si>
  <si>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</si>
  <si>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</si>
  <si>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</si>
  <si>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</si>
  <si>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</si>
  <si>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</si>
  <si>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</si>
  <si>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</si>
  <si>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</si>
  <si>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</si>
  <si>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</si>
  <si>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</si>
  <si>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</si>
  <si>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</si>
  <si>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</si>
  <si>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</si>
  <si>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</si>
  <si>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</si>
  <si>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</si>
  <si>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</si>
  <si>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</si>
  <si>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</si>
  <si>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</si>
  <si>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</si>
  <si>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</si>
  <si>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</si>
  <si>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</si>
  <si>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</si>
  <si>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</si>
  <si>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</si>
  <si>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</si>
  <si>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</si>
  <si>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</si>
  <si>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</si>
  <si>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</si>
  <si>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</si>
  <si>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</si>
  <si>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</si>
  <si>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</si>
  <si>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</si>
  <si>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</si>
  <si>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</si>
  <si>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</si>
  <si>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</si>
  <si>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</si>
  <si>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</si>
  <si>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</si>
  <si>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</si>
  <si>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</si>
  <si>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</si>
  <si>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</si>
  <si>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</si>
  <si>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</si>
  <si>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</si>
  <si>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</si>
  <si>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</si>
  <si>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</si>
  <si>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</si>
  <si>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</si>
  <si>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</si>
  <si>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</si>
  <si>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</si>
  <si>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</si>
  <si>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</si>
  <si>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</si>
  <si>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</si>
  <si>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</si>
  <si>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</si>
  <si>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</si>
  <si>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</si>
  <si>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</si>
  <si>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</si>
  <si>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</si>
  <si>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</si>
  <si>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</si>
  <si>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</si>
  <si>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</si>
  <si>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</si>
  <si>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</si>
  <si>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</si>
  <si>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</si>
  <si>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</si>
  <si>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</si>
  <si>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</si>
  <si>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</si>
  <si>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</si>
  <si>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</si>
  <si>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</si>
  <si>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</si>
  <si>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</si>
  <si>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</si>
  <si>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</si>
  <si>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</si>
  <si>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</si>
  <si>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</si>
  <si>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</si>
  <si>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</si>
  <si>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</si>
  <si>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</si>
  <si>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</si>
  <si>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</si>
  <si>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</si>
  <si>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</si>
  <si>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</si>
  <si>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</si>
  <si>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</si>
  <si>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</si>
  <si>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</si>
  <si>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</si>
  <si>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</si>
  <si>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</si>
  <si>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</si>
  <si>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</si>
  <si>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</si>
  <si>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</si>
  <si>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</si>
  <si>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</si>
  <si>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</si>
  <si>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</si>
  <si>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</si>
  <si>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</si>
  <si>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</si>
  <si>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</si>
  <si>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</si>
  <si>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</si>
  <si>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</si>
  <si>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</si>
  <si>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</si>
  <si>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</si>
  <si>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</si>
  <si>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</si>
  <si>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</si>
  <si>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</si>
  <si>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</si>
  <si>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</si>
  <si>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</si>
  <si>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</si>
  <si>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</si>
  <si>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</si>
  <si>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</si>
  <si>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</si>
  <si>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</si>
  <si>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</si>
  <si>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</si>
  <si>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</si>
  <si>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</si>
  <si>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</si>
  <si>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</si>
  <si>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</si>
  <si>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</si>
  <si>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</si>
  <si>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</si>
  <si>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</si>
  <si>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</si>
  <si>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</si>
  <si>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</si>
  <si>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</si>
  <si>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</si>
  <si>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</si>
  <si>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</si>
  <si>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</si>
  <si>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</si>
  <si>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</si>
  <si>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</si>
  <si>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</si>
  <si>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</si>
  <si>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</si>
  <si>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</si>
  <si>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</si>
  <si>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</si>
  <si>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</si>
  <si>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</si>
  <si>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</si>
  <si>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</si>
  <si>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</si>
  <si>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</si>
  <si>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</si>
  <si>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</si>
  <si>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</si>
  <si>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</si>
  <si>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</si>
  <si>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</si>
  <si>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</si>
  <si>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</si>
  <si>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</si>
  <si>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</si>
  <si>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</si>
  <si>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</si>
  <si>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</si>
  <si>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</si>
  <si>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</si>
  <si>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</si>
  <si>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</si>
  <si>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</si>
  <si>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</si>
  <si>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</si>
  <si>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</si>
  <si>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</si>
  <si>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</si>
  <si>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</si>
  <si>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</si>
  <si>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</si>
  <si>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</si>
  <si>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</si>
  <si>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</si>
  <si>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</si>
  <si>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</si>
  <si>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</si>
  <si>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</si>
  <si>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</si>
  <si>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</si>
  <si>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</si>
  <si>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</si>
  <si>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</si>
  <si>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</si>
  <si>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</si>
  <si>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</si>
  <si>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</si>
  <si>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</si>
  <si>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</si>
  <si>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</si>
  <si>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</si>
  <si>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</si>
  <si>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</si>
  <si>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</si>
  <si>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</si>
  <si>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</si>
  <si>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</si>
  <si>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</si>
  <si>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</si>
  <si>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</si>
  <si>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</si>
  <si>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</si>
  <si>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</si>
  <si>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</si>
  <si>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</si>
  <si>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</si>
  <si>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</si>
  <si>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</si>
  <si>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</si>
  <si>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</si>
  <si>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</si>
  <si>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</si>
  <si>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</si>
  <si>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</si>
  <si>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</si>
  <si>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</si>
  <si>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</si>
  <si>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</si>
  <si>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</si>
  <si>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</si>
  <si>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</si>
  <si>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</si>
  <si>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</si>
  <si>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</si>
  <si>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</si>
  <si>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</si>
  <si>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</si>
  <si>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</si>
  <si>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</si>
  <si>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</si>
  <si>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</si>
  <si>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</si>
  <si>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</si>
  <si>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</si>
  <si>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</si>
  <si>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</si>
  <si>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</si>
  <si>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</si>
  <si>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</si>
  <si>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</si>
  <si>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</si>
  <si>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</si>
  <si>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</si>
  <si>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</si>
  <si>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</si>
  <si>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</si>
  <si>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</si>
  <si>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</si>
  <si>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</si>
  <si>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</si>
  <si>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</si>
  <si>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</si>
  <si>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</si>
  <si>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</si>
  <si>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</si>
  <si>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</si>
  <si>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</si>
  <si>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</si>
  <si>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</si>
  <si>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</si>
  <si>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</si>
  <si>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</si>
  <si>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</si>
  <si>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</si>
  <si>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</si>
  <si>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</si>
  <si>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</si>
  <si>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</si>
  <si>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</si>
  <si>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</si>
  <si>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</si>
  <si>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</si>
  <si>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</si>
  <si>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</si>
  <si>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</si>
  <si>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</si>
  <si>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</si>
  <si>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</si>
  <si>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</si>
  <si>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</si>
  <si>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</si>
  <si>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</si>
  <si>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</si>
  <si>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</si>
  <si>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</si>
  <si>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</si>
  <si>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</si>
  <si>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</si>
  <si>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</si>
  <si>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</si>
  <si>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</si>
  <si>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</si>
  <si>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</si>
  <si>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</si>
  <si>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</si>
  <si>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</si>
  <si>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</si>
  <si>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</si>
  <si>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</si>
  <si>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</si>
  <si>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</si>
  <si>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</si>
  <si>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</si>
  <si>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</si>
  <si>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</si>
  <si>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</si>
  <si>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</si>
  <si>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</si>
  <si>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</si>
  <si>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</si>
  <si>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</si>
  <si>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</si>
  <si>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</si>
  <si>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</si>
  <si>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</si>
  <si>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</si>
  <si>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</si>
  <si>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</si>
  <si>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</si>
  <si>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</si>
  <si>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</si>
  <si>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</si>
  <si>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</si>
  <si>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</si>
  <si>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</si>
  <si>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</si>
  <si>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</si>
  <si>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</si>
  <si>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</si>
  <si>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</si>
  <si>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</si>
  <si>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</si>
  <si>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</si>
  <si>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</si>
  <si>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</si>
  <si>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</si>
  <si>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</si>
  <si>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</si>
  <si>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</si>
  <si>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</si>
  <si>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</si>
  <si>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</si>
  <si>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</si>
  <si>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</si>
  <si>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</si>
  <si>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</si>
  <si>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</si>
  <si>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</si>
  <si>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</si>
  <si>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</si>
  <si>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</si>
  <si>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</si>
  <si>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</si>
  <si>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</si>
  <si>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</si>
  <si>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</si>
  <si>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</si>
  <si>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</si>
  <si>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</si>
  <si>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</si>
  <si>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</si>
  <si>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</si>
  <si>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</si>
  <si>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</si>
  <si>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</si>
  <si>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</si>
  <si>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</si>
  <si>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</si>
  <si>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</si>
  <si>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</si>
  <si>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</si>
  <si>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</si>
  <si>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</si>
  <si>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</si>
  <si>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</si>
  <si>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</si>
  <si>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</si>
  <si>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</si>
  <si>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</si>
  <si>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</si>
  <si>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</si>
  <si>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</si>
  <si>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</si>
  <si>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</si>
  <si>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</si>
  <si>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</si>
  <si>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</si>
  <si>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</si>
  <si>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</si>
  <si>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</si>
  <si>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</si>
  <si>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</si>
  <si>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</si>
  <si>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</si>
  <si>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</si>
  <si>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</si>
  <si>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</si>
  <si>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</si>
  <si>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</si>
  <si>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</si>
  <si>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</si>
  <si>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</si>
  <si>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</si>
  <si>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</si>
  <si>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</si>
  <si>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</si>
  <si>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</si>
  <si>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</si>
  <si>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</si>
  <si>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</si>
  <si>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</si>
  <si>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</si>
  <si>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</si>
  <si>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</si>
  <si>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</si>
  <si>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</si>
  <si>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</si>
  <si>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</si>
  <si>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</si>
  <si>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</si>
  <si>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</si>
  <si>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</si>
  <si>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</si>
  <si>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</si>
  <si>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</si>
  <si>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</si>
  <si>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</si>
  <si>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</si>
  <si>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</si>
  <si>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</si>
  <si>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</si>
  <si>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</si>
  <si>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</si>
  <si>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</si>
  <si>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</si>
  <si>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</si>
  <si>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</si>
  <si>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</si>
  <si>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</si>
  <si>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</si>
  <si>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</si>
  <si>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</si>
  <si>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</si>
  <si>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</si>
  <si>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</si>
  <si>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</si>
  <si>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</si>
  <si>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</si>
  <si>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</si>
  <si>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</si>
  <si>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</si>
  <si>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</si>
  <si>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</si>
  <si>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</si>
  <si>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</si>
  <si>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</si>
  <si>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</si>
  <si>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</si>
  <si>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</si>
  <si>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</si>
  <si>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</si>
  <si>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</si>
  <si>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</si>
  <si>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</si>
  <si>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</si>
  <si>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</si>
  <si>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</si>
  <si>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</si>
  <si>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</si>
  <si>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</si>
  <si>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</si>
  <si>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</si>
  <si>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</si>
  <si>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</si>
  <si>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</si>
  <si>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</si>
  <si>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</si>
  <si>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</si>
  <si>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</si>
  <si>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</si>
  <si>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</si>
  <si>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</si>
  <si>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</si>
  <si>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</si>
  <si>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</si>
  <si>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</si>
  <si>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</si>
  <si>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</si>
  <si>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</si>
  <si>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</si>
  <si>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</si>
  <si>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</si>
  <si>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</si>
  <si>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</si>
  <si>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</si>
  <si>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</si>
  <si>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</si>
  <si>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</si>
  <si>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</si>
  <si>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</si>
  <si>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</si>
  <si>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</si>
  <si>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</si>
  <si>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</si>
  <si>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</si>
  <si>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</si>
  <si>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</si>
  <si>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</si>
  <si>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</si>
  <si>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</si>
  <si>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</si>
  <si>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</si>
  <si>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</si>
  <si>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</si>
  <si>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</si>
  <si>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</si>
  <si>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</si>
  <si>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</si>
  <si>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</si>
  <si>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</si>
  <si>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</si>
  <si>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</si>
  <si>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</si>
  <si>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</si>
  <si>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</si>
  <si>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</si>
  <si>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</si>
  <si>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</si>
  <si>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</si>
  <si>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</si>
  <si>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</si>
  <si>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</si>
  <si>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</si>
  <si>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</si>
  <si>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</si>
  <si>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</si>
  <si>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</si>
  <si>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</si>
  <si>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</si>
  <si>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</si>
  <si>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</si>
  <si>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</si>
  <si>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</si>
  <si>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</si>
  <si>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</si>
  <si>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</si>
  <si>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</si>
  <si>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</si>
  <si>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</si>
  <si>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</si>
  <si>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</si>
  <si>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</si>
  <si>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</si>
  <si>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</si>
  <si>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</si>
  <si>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</si>
  <si>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</si>
  <si>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</si>
  <si>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</si>
  <si>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</si>
  <si>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</si>
  <si>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</si>
  <si>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</si>
  <si>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</si>
  <si>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</si>
  <si>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</si>
  <si>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</si>
  <si>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</si>
  <si>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</si>
  <si>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</si>
  <si>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</si>
  <si>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</si>
  <si>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</si>
  <si>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</si>
  <si>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</si>
  <si>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</si>
  <si>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</si>
  <si>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</si>
  <si>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</si>
  <si>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</si>
  <si>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</si>
  <si>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</si>
  <si>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</si>
  <si>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</si>
  <si>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</si>
  <si>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</si>
  <si>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</si>
  <si>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</si>
  <si>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</si>
  <si>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</si>
  <si>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</si>
  <si>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</si>
  <si>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</si>
  <si>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</si>
  <si>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</si>
  <si>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</si>
  <si>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</si>
  <si>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</si>
  <si>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</si>
  <si>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</si>
  <si>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</si>
  <si>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</si>
  <si>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</si>
  <si>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</si>
  <si>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</si>
  <si>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</si>
  <si>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</si>
  <si>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</si>
  <si>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</si>
  <si>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</si>
  <si>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</si>
  <si>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</si>
  <si>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</si>
  <si>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</si>
  <si>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</si>
  <si>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</si>
  <si>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</si>
  <si>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</si>
  <si>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</si>
  <si>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</si>
  <si>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</si>
  <si>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</si>
  <si>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</si>
  <si>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</si>
  <si>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</si>
  <si>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</si>
  <si>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</si>
  <si>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</si>
  <si>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</si>
  <si>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</si>
  <si>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</si>
  <si>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</si>
  <si>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</si>
  <si>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</si>
  <si>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</si>
  <si>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</si>
  <si>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</si>
  <si>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</si>
  <si>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</si>
  <si>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</si>
  <si>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</si>
  <si>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</si>
  <si>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</si>
  <si>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</si>
  <si>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</si>
  <si>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</si>
  <si>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</si>
  <si>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</si>
  <si>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</si>
  <si>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</si>
  <si>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</si>
  <si>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</si>
  <si>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</si>
  <si>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</si>
  <si>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</si>
  <si>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</si>
  <si>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</si>
  <si>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</si>
  <si>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</si>
  <si>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</si>
  <si>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</si>
  <si>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</si>
  <si>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</si>
  <si>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</si>
  <si>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</si>
  <si>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</si>
  <si>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</si>
  <si>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</si>
  <si>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</si>
  <si>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</si>
  <si>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</si>
  <si>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</si>
  <si>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</si>
  <si>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</si>
  <si>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</si>
  <si>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</si>
  <si>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</si>
  <si>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</si>
  <si>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</si>
  <si>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</si>
  <si>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</si>
  <si>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</si>
  <si>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</si>
  <si>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</si>
  <si>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</si>
  <si>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</si>
  <si>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</si>
  <si>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</si>
  <si>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</si>
  <si>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</si>
  <si>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</si>
  <si>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</si>
  <si>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</si>
  <si>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</si>
  <si>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</si>
  <si>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</si>
  <si>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</si>
  <si>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</si>
  <si>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</si>
  <si>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</si>
  <si>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</si>
  <si>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</si>
  <si>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</si>
  <si>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</si>
  <si>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</si>
  <si>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</si>
  <si>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</si>
  <si>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</si>
  <si>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</si>
  <si>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</si>
  <si>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</si>
  <si>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</si>
  <si>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</si>
  <si>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</si>
  <si>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</si>
  <si>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</si>
  <si>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</si>
  <si>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</si>
  <si>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</si>
  <si>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</si>
  <si>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</si>
  <si>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</si>
  <si>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</si>
  <si>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</si>
  <si>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</si>
  <si>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</si>
  <si>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</si>
  <si>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</si>
  <si>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</si>
  <si>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</si>
  <si>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</si>
  <si>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</si>
  <si>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</si>
  <si>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</si>
  <si>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</si>
  <si>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</si>
  <si>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</si>
  <si>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</si>
  <si>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</si>
  <si>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</si>
  <si>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</si>
  <si>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</si>
  <si>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</si>
  <si>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</si>
  <si>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</si>
  <si>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</si>
  <si>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</si>
  <si>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</si>
  <si>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</si>
  <si>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</si>
  <si>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</si>
  <si>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</si>
  <si>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</si>
  <si>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</si>
  <si>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</si>
  <si>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</si>
  <si>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</si>
  <si>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</si>
  <si>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</si>
  <si>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</si>
  <si>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</si>
  <si>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</si>
  <si>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</si>
  <si>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</si>
  <si>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</si>
  <si>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</si>
  <si>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</si>
  <si>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</si>
  <si>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</si>
  <si>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</si>
  <si>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</si>
  <si>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</si>
  <si>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</si>
  <si>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</si>
  <si>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</si>
  <si>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</si>
  <si>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</si>
  <si>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</si>
  <si>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</si>
  <si>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</si>
  <si>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</si>
  <si>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</si>
  <si>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</si>
  <si>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</si>
  <si>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</si>
  <si>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</si>
  <si>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</si>
  <si>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</si>
  <si>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</si>
  <si>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</si>
  <si>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</si>
  <si>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</si>
  <si>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</si>
  <si>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</si>
  <si>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</si>
  <si>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</si>
  <si>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</si>
  <si>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</si>
  <si>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</si>
  <si>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</si>
  <si>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</si>
  <si>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</si>
  <si>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</si>
  <si>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</si>
  <si>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</si>
  <si>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</si>
  <si>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</si>
  <si>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</si>
  <si>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</si>
  <si>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</si>
  <si>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</si>
  <si>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</si>
  <si>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</si>
  <si>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</si>
  <si>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</si>
  <si>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</si>
  <si>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</si>
  <si>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</si>
  <si>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</si>
  <si>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</si>
  <si>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</si>
  <si>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</si>
  <si>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</si>
  <si>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</si>
  <si>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</si>
  <si>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</si>
  <si>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</si>
  <si>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</si>
  <si>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</si>
  <si>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</si>
  <si>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</si>
  <si>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</si>
  <si>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</si>
  <si>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</si>
  <si>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</si>
  <si>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</si>
  <si>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</si>
  <si>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</si>
  <si>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</si>
  <si>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</si>
  <si>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</si>
  <si>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</si>
  <si>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</si>
  <si>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</si>
  <si>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</si>
  <si>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</si>
  <si>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</si>
  <si>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</si>
  <si>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</si>
  <si>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</si>
  <si>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</si>
  <si>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</si>
  <si>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</si>
  <si>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</si>
  <si>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</si>
  <si>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</si>
  <si>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</si>
  <si>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</si>
  <si>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</si>
  <si>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</si>
  <si>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</si>
  <si>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</si>
  <si>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</si>
  <si>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</si>
  <si>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</si>
  <si>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</si>
  <si>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</si>
  <si>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</si>
  <si>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</si>
  <si>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</si>
  <si>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</si>
  <si>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</si>
  <si>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</si>
  <si>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</si>
  <si>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</si>
  <si>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</si>
  <si>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</si>
  <si>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</si>
  <si>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</si>
  <si>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</si>
  <si>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</si>
  <si>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</si>
  <si>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</si>
  <si>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</si>
  <si>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</si>
  <si>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</si>
  <si>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</si>
  <si>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</si>
  <si>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</si>
  <si>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</si>
  <si>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</si>
  <si>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</si>
  <si>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</si>
  <si>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</si>
  <si>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</si>
  <si>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</si>
  <si>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</si>
  <si>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</si>
  <si>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</si>
  <si>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</si>
  <si>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</si>
  <si>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</si>
  <si>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</si>
  <si>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</si>
  <si>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</si>
  <si>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</si>
  <si>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</si>
  <si>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</si>
  <si>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</si>
  <si>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</si>
  <si>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</si>
  <si>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</si>
  <si>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</si>
  <si>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</si>
  <si>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</si>
  <si>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</si>
  <si>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</si>
  <si>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</si>
  <si>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</si>
  <si>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</si>
  <si>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</si>
  <si>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</si>
  <si>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</si>
  <si>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</si>
  <si>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</si>
  <si>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</si>
  <si>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</si>
  <si>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</si>
  <si>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</si>
  <si>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</si>
  <si>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</si>
  <si>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</si>
  <si>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</si>
  <si>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</si>
  <si>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</si>
  <si>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</si>
  <si>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</si>
  <si>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</si>
  <si>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</si>
  <si>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</si>
  <si>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</si>
  <si>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</si>
  <si>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</si>
  <si>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</si>
  <si>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</si>
  <si>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</si>
  <si>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</si>
  <si>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</si>
  <si>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</si>
  <si>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</si>
  <si>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</si>
  <si>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</si>
  <si>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</si>
  <si>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</si>
  <si>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</si>
  <si>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</si>
  <si>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</si>
  <si>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</si>
  <si>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</si>
  <si>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</si>
  <si>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</si>
  <si>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</si>
  <si>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</si>
  <si>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</si>
  <si>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</si>
  <si>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</si>
  <si>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</si>
  <si>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</si>
  <si>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</si>
  <si>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</si>
  <si>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</si>
  <si>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</si>
  <si>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</si>
  <si>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</si>
  <si>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</si>
  <si>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</si>
  <si>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</si>
  <si>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</si>
  <si>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</si>
  <si>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</si>
  <si>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</si>
  <si>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</si>
  <si>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</si>
  <si>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</si>
  <si>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</si>
  <si>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</si>
  <si>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</si>
  <si>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</si>
  <si>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</si>
  <si>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</si>
  <si>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</si>
  <si>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</si>
  <si>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</si>
  <si>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</si>
  <si>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</si>
  <si>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</si>
  <si>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</si>
  <si>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</si>
  <si>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</si>
  <si>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</si>
  <si>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</si>
  <si>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</si>
  <si>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</si>
  <si>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</si>
  <si>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</si>
  <si>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</si>
  <si>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</si>
  <si>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</si>
  <si>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</si>
  <si>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</si>
  <si>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</si>
  <si>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</si>
  <si>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</si>
  <si>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</si>
  <si>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</si>
  <si>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</si>
  <si>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</si>
  <si>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</si>
  <si>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</si>
  <si>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</si>
  <si>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</si>
  <si>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</si>
  <si>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</si>
  <si>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</si>
  <si>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</si>
  <si>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</si>
  <si>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</si>
  <si>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</si>
  <si>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</si>
  <si>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</si>
  <si>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</si>
  <si>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</si>
  <si>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</si>
  <si>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</si>
  <si>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</si>
  <si>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</si>
  <si>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</si>
  <si>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</si>
  <si>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</si>
  <si>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</si>
  <si>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</si>
  <si>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</si>
  <si>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</si>
  <si>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</si>
  <si>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</si>
  <si>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</si>
  <si>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</si>
  <si>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</si>
  <si>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</si>
  <si>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</si>
  <si>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</si>
  <si>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</si>
  <si>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</si>
  <si>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</si>
  <si>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</si>
  <si>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</si>
  <si>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</si>
  <si>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</si>
  <si>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</si>
  <si>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</si>
  <si>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</si>
  <si>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</si>
  <si>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</si>
  <si>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</si>
  <si>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</si>
  <si>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</si>
  <si>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</si>
  <si>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</si>
  <si>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</si>
  <si>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</si>
  <si>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</si>
  <si>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</si>
  <si>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</si>
  <si>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</si>
  <si>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</si>
  <si>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</si>
  <si>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</si>
  <si>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</si>
  <si>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</si>
  <si>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</si>
  <si>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</si>
  <si>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</si>
  <si>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</si>
  <si>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</si>
  <si>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</si>
  <si>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</si>
  <si>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</si>
  <si>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</si>
  <si>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</si>
  <si>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</si>
  <si>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</si>
  <si>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</si>
  <si>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</si>
  <si>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</si>
  <si>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</si>
  <si>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</si>
  <si>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</si>
  <si>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</si>
  <si>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</si>
  <si>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</si>
  <si>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</si>
  <si>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</si>
  <si>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</si>
  <si>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</si>
  <si>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</si>
  <si>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</si>
  <si>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</si>
  <si>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</si>
  <si>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</si>
  <si>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</si>
  <si>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</si>
  <si>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</si>
  <si>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</si>
  <si>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</si>
  <si>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</si>
  <si>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</si>
  <si>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</si>
  <si>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</si>
  <si>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</si>
  <si>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</si>
  <si>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</si>
  <si>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</si>
  <si>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</si>
  <si>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</si>
  <si>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</si>
  <si>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</si>
  <si>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</si>
  <si>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</si>
  <si>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</si>
  <si>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</si>
  <si>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</si>
  <si>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</si>
  <si>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</si>
  <si>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</si>
  <si>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</si>
  <si>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</si>
  <si>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</si>
  <si>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</si>
  <si>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</si>
  <si>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</si>
  <si>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</si>
  <si>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</si>
  <si>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</si>
  <si>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</si>
  <si>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</si>
  <si>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</si>
  <si>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</si>
  <si>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</si>
  <si>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</si>
  <si>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</si>
  <si>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</si>
  <si>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</si>
  <si>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</si>
  <si>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</si>
  <si>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</si>
  <si>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</si>
  <si>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</si>
  <si>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</si>
  <si>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</si>
  <si>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</si>
  <si>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</si>
  <si>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</si>
  <si>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</si>
  <si>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</si>
  <si>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</si>
  <si>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</si>
  <si>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</si>
  <si>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</si>
  <si>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</si>
  <si>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</si>
  <si>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</si>
  <si>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</si>
  <si>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</si>
  <si>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</si>
  <si>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</si>
  <si>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</si>
  <si>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</si>
  <si>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</si>
  <si>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</si>
  <si>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</si>
  <si>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</si>
  <si>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</si>
  <si>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</si>
  <si>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</si>
  <si>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</si>
  <si>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</si>
  <si>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</si>
  <si>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</si>
  <si>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</si>
  <si>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</si>
  <si>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</si>
  <si>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</si>
  <si>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</si>
  <si>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</si>
  <si>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</si>
  <si>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</si>
  <si>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</si>
  <si>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</si>
  <si>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</si>
  <si>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</si>
  <si>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</si>
  <si>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</si>
  <si>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</si>
  <si>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</si>
  <si>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</si>
  <si>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</si>
  <si>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</si>
  <si>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</si>
  <si>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</si>
  <si>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</si>
  <si>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</si>
  <si>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</si>
  <si>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</si>
  <si>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</si>
  <si>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</si>
  <si>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</si>
  <si>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</si>
  <si>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</si>
  <si>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</si>
  <si>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</si>
  <si>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</si>
  <si>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</si>
  <si>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</si>
  <si>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</si>
  <si>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</si>
  <si>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</si>
  <si>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</si>
  <si>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</si>
  <si>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</si>
  <si>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</si>
  <si>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</si>
  <si>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</si>
  <si>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</si>
  <si>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</si>
  <si>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</si>
  <si>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</si>
  <si>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</si>
  <si>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</si>
  <si>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</si>
  <si>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</si>
  <si>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</si>
  <si>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</si>
  <si>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</si>
  <si>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</si>
  <si>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</si>
  <si>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</si>
  <si>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</si>
  <si>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</si>
  <si>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</si>
  <si>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</si>
  <si>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</si>
  <si>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</si>
  <si>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</si>
  <si>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</si>
  <si>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</si>
  <si>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</si>
  <si>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</si>
  <si>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</si>
  <si>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</si>
  <si>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</si>
  <si>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</si>
  <si>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</si>
  <si>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</si>
  <si>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</si>
  <si>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</si>
  <si>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</si>
  <si>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</si>
  <si>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</si>
  <si>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</si>
  <si>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</si>
  <si>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</si>
  <si>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</si>
  <si>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</si>
  <si>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</si>
  <si>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</si>
  <si>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</si>
  <si>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</si>
  <si>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</si>
  <si>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</si>
  <si>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</si>
  <si>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</si>
  <si>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</si>
  <si>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</si>
  <si>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</si>
  <si>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</si>
  <si>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</si>
  <si>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</si>
  <si>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</si>
  <si>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</si>
  <si>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</si>
  <si>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</si>
  <si>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</si>
  <si>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</si>
  <si>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</si>
  <si>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</si>
  <si>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</si>
  <si>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</si>
  <si>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</si>
  <si>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</si>
  <si>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</si>
  <si>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</si>
  <si>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</si>
  <si>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</si>
  <si>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</si>
  <si>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</si>
  <si>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</si>
  <si>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</si>
  <si>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</si>
  <si>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</si>
  <si>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</si>
  <si>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</si>
  <si>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</si>
  <si>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</si>
  <si>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</si>
  <si>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</si>
  <si>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</si>
  <si>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</si>
  <si>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</si>
  <si>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</si>
  <si>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</si>
  <si>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</si>
  <si>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</si>
  <si>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</si>
  <si>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</si>
  <si>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</si>
  <si>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</si>
  <si>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</si>
  <si>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</si>
  <si>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</si>
  <si>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</si>
  <si>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</si>
  <si>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</si>
  <si>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</si>
  <si>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</si>
  <si>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</si>
  <si>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</si>
  <si>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</si>
  <si>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</si>
  <si>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</si>
  <si>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</si>
  <si>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</si>
  <si>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</si>
  <si>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</si>
  <si>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</si>
  <si>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</si>
  <si>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</si>
  <si>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</si>
  <si>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</si>
  <si>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</si>
  <si>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</si>
  <si>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</si>
  <si>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</si>
  <si>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</si>
  <si>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</si>
  <si>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</si>
  <si>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</si>
  <si>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</si>
  <si>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</si>
  <si>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</si>
  <si>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</si>
  <si>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</si>
  <si>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</si>
  <si>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</si>
  <si>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</si>
  <si>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</si>
  <si>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</si>
  <si>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</si>
  <si>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</si>
  <si>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</si>
  <si>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</si>
  <si>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</si>
  <si>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</si>
  <si>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</si>
  <si>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</si>
  <si>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</si>
  <si>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</si>
  <si>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</si>
  <si>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</si>
  <si>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</si>
  <si>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</si>
  <si>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</si>
  <si>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</si>
  <si>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</si>
  <si>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</si>
  <si>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</si>
  <si>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</si>
  <si>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</si>
  <si>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</si>
  <si>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</si>
  <si>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</si>
  <si>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</si>
  <si>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</si>
  <si>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</si>
  <si>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</si>
  <si>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</si>
  <si>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</si>
  <si>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</si>
  <si>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</si>
  <si>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</si>
  <si>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</si>
  <si>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</si>
  <si>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</si>
  <si>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</si>
  <si>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</si>
  <si>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</si>
  <si>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</si>
  <si>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</si>
  <si>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</si>
  <si>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</si>
  <si>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</si>
  <si>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</si>
  <si>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</si>
  <si>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</si>
  <si>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</si>
  <si>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</si>
  <si>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</si>
  <si>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</si>
  <si>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</si>
  <si>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</si>
  <si>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</si>
  <si>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</si>
  <si>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</si>
  <si>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</si>
  <si>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</si>
  <si>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</si>
  <si>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</si>
  <si>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</si>
  <si>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</si>
  <si>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</si>
  <si>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</si>
  <si>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</si>
  <si>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</si>
  <si>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</si>
  <si>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</si>
  <si>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</si>
  <si>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</si>
  <si>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</si>
  <si>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</si>
  <si>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</si>
  <si>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</si>
  <si>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</si>
  <si>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</si>
  <si>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</si>
  <si>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</si>
  <si>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</si>
  <si>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</si>
  <si>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</si>
  <si>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</si>
  <si>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</si>
  <si>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</si>
  <si>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</si>
  <si>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</si>
  <si>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</si>
  <si>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</si>
  <si>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</si>
  <si>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</si>
  <si>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</si>
  <si>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</si>
  <si>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</si>
  <si>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</si>
  <si>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</si>
  <si>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</si>
  <si>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</si>
  <si>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</si>
  <si>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</si>
  <si>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</si>
  <si>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</si>
  <si>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</si>
  <si>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</si>
  <si>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</si>
  <si>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</si>
  <si>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</si>
  <si>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</si>
  <si>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</si>
  <si>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</si>
  <si>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</si>
  <si>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</si>
  <si>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</si>
  <si>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</si>
  <si>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</si>
  <si>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</si>
  <si>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</si>
  <si>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</si>
  <si>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</si>
  <si>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</si>
  <si>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</si>
  <si>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</si>
  <si>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</si>
  <si>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</si>
  <si>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</si>
  <si>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</si>
  <si>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</si>
  <si>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</si>
  <si>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</si>
  <si>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</si>
  <si>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</si>
  <si>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</si>
  <si>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</si>
  <si>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</si>
  <si>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</si>
  <si>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</si>
  <si>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</si>
  <si>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</si>
  <si>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</si>
  <si>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</si>
  <si>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</si>
  <si>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</si>
  <si>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</si>
  <si>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</si>
  <si>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</si>
  <si>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</si>
  <si>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</si>
  <si>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</si>
  <si>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</si>
  <si>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</si>
  <si>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</si>
  <si>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</si>
  <si>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</si>
  <si>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</si>
  <si>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</si>
  <si>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</si>
  <si>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</si>
  <si>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</si>
  <si>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</si>
  <si>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</si>
  <si>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</si>
  <si>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</si>
  <si>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</si>
  <si>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</si>
  <si>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</si>
  <si>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</si>
  <si>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</si>
  <si>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</si>
  <si>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</si>
  <si>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</si>
  <si>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</si>
  <si>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</si>
  <si>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</si>
  <si>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</si>
  <si>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</si>
  <si>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</si>
  <si>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</si>
  <si>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</si>
  <si>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</si>
  <si>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</si>
  <si>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</si>
  <si>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</si>
  <si>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</si>
  <si>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</si>
  <si>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</si>
  <si>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</si>
  <si>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</si>
  <si>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</si>
  <si>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</si>
  <si>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</si>
  <si>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</si>
  <si>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</si>
  <si>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</si>
  <si>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</si>
  <si>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</si>
  <si>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</si>
  <si>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</si>
  <si>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</si>
  <si>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</si>
  <si>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</si>
  <si>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</si>
  <si>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</si>
  <si>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</si>
  <si>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</si>
  <si>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</si>
  <si>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</si>
  <si>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</si>
  <si>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</si>
  <si>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</si>
  <si>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</si>
  <si>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</si>
  <si>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</si>
  <si>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</si>
  <si>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</si>
  <si>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</si>
  <si>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</si>
  <si>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</si>
  <si>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</si>
  <si>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</si>
  <si>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</si>
  <si>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</si>
  <si>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</si>
  <si>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</si>
  <si>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</si>
  <si>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</si>
  <si>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</si>
  <si>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</si>
  <si>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</si>
  <si>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</si>
  <si>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</si>
  <si>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</si>
  <si>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</si>
  <si>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</si>
  <si>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</si>
  <si>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</si>
  <si>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</si>
  <si>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</si>
  <si>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</si>
  <si>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</si>
  <si>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</si>
  <si>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</si>
  <si>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</si>
  <si>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</si>
  <si>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</si>
  <si>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</si>
  <si>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</si>
  <si>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</si>
  <si>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</si>
  <si>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</si>
  <si>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</si>
  <si>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</si>
  <si>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</si>
  <si>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</si>
  <si>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</si>
  <si>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</si>
  <si>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</si>
  <si>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</si>
  <si>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</si>
  <si>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</si>
  <si>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</si>
  <si>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</si>
  <si>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</si>
  <si>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</si>
  <si>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</si>
  <si>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</si>
  <si>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</si>
  <si>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</si>
  <si>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</si>
  <si>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</si>
  <si>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</si>
  <si>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</si>
  <si>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</si>
  <si>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</si>
  <si>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</si>
  <si>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</si>
  <si>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</si>
  <si>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</si>
  <si>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</si>
  <si>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</si>
  <si>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</si>
  <si>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</si>
  <si>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</si>
  <si>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</si>
  <si>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</si>
  <si>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</si>
  <si>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</si>
  <si>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</si>
  <si>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</si>
  <si>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</si>
  <si>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</si>
  <si>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</si>
  <si>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</si>
  <si>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</si>
  <si>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</si>
  <si>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</si>
  <si>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</si>
  <si>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</si>
  <si>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</si>
  <si>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</si>
  <si>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</si>
  <si>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</si>
  <si>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</si>
  <si>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</si>
  <si>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</si>
  <si>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</si>
  <si>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</si>
  <si>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</si>
  <si>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</si>
  <si>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</si>
  <si>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</si>
  <si>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</si>
  <si>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</si>
  <si>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</si>
  <si>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</si>
  <si>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</si>
  <si>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</si>
  <si>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</si>
  <si>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</si>
  <si>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</si>
  <si>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</si>
  <si>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</si>
  <si>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</si>
  <si>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</si>
  <si>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</si>
  <si>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</si>
  <si>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</si>
  <si>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</si>
  <si>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</si>
  <si>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</si>
  <si>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</si>
  <si>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</si>
  <si>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</si>
  <si>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</si>
  <si>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</si>
  <si>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</si>
  <si>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</si>
  <si>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</si>
  <si>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</si>
  <si>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</si>
  <si>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</si>
  <si>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</si>
  <si>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</si>
  <si>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</si>
  <si>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</si>
  <si>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</si>
  <si>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</si>
  <si>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</si>
  <si>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</si>
  <si>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</si>
  <si>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</si>
  <si>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</si>
  <si>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</si>
  <si>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</si>
  <si>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</si>
  <si>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</si>
  <si>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</si>
  <si>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</si>
  <si>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</si>
  <si>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</si>
  <si>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</si>
  <si>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</si>
  <si>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</si>
  <si>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</si>
  <si>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</si>
  <si>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</si>
  <si>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</si>
  <si>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</si>
  <si>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</si>
  <si>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</si>
  <si>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</si>
  <si>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</si>
  <si>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</si>
  <si>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</si>
  <si>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</si>
  <si>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</si>
  <si>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</si>
  <si>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</si>
  <si>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</si>
  <si>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</si>
  <si>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</si>
  <si>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</si>
  <si>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</si>
  <si>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</si>
  <si>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</si>
  <si>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</si>
  <si>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</si>
  <si>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</si>
  <si>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</si>
  <si>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</si>
  <si>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</si>
  <si>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</si>
  <si>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</si>
  <si>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</si>
  <si>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</si>
  <si>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</si>
  <si>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</si>
  <si>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</si>
  <si>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</si>
  <si>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</si>
  <si>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</si>
  <si>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</si>
  <si>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</si>
  <si>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</si>
  <si>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</si>
  <si>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</si>
  <si>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</si>
  <si>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</si>
  <si>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</si>
  <si>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</si>
  <si>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</si>
  <si>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</si>
  <si>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</si>
  <si>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</si>
  <si>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</si>
  <si>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</si>
  <si>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</si>
  <si>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</si>
  <si>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</si>
  <si>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</si>
  <si>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</si>
  <si>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</si>
  <si>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</si>
  <si>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</si>
  <si>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</si>
  <si>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</si>
  <si>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</si>
  <si>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</si>
  <si>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</si>
  <si>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</si>
  <si>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</si>
  <si>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</si>
  <si>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</si>
  <si>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</si>
  <si>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</si>
  <si>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</si>
  <si>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</si>
  <si>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</si>
  <si>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</si>
  <si>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</si>
  <si>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</si>
  <si>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</si>
  <si>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</si>
  <si>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</si>
  <si>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</si>
  <si>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</si>
  <si>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</si>
  <si>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</si>
  <si>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</si>
  <si>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</si>
  <si>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</si>
  <si>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</si>
  <si>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</si>
  <si>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</si>
  <si>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</si>
  <si>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</si>
  <si>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</si>
  <si>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</si>
  <si>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</si>
  <si>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</si>
  <si>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</si>
  <si>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</si>
  <si>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</si>
  <si>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</si>
  <si>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</si>
  <si>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</si>
  <si>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</si>
  <si>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</si>
  <si>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</si>
  <si>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</si>
  <si>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</si>
  <si>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</si>
  <si>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</si>
  <si>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</si>
  <si>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</si>
  <si>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</si>
  <si>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</si>
  <si>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</si>
  <si>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</si>
  <si>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</si>
  <si>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</si>
  <si>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</si>
  <si>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</si>
  <si>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</si>
  <si>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</si>
  <si>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</si>
  <si>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</si>
  <si>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</si>
  <si>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</si>
  <si>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</si>
  <si>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</si>
  <si>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</si>
  <si>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</si>
  <si>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</si>
  <si>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</si>
  <si>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</si>
  <si>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</si>
  <si>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</si>
  <si>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</si>
  <si>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</si>
  <si>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</si>
  <si>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</si>
  <si>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</si>
  <si>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</si>
  <si>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</si>
  <si>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</si>
  <si>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</si>
  <si>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</si>
  <si>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</si>
  <si>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</si>
  <si>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</si>
  <si>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</si>
  <si>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</si>
  <si>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</si>
  <si>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</si>
  <si>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</si>
  <si>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</si>
  <si>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</si>
  <si>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</si>
  <si>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</si>
  <si>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</si>
  <si>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</si>
  <si>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</si>
  <si>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</si>
  <si>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</si>
  <si>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</si>
  <si>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</si>
  <si>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</si>
  <si>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</si>
  <si>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</si>
  <si>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</si>
  <si>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</si>
  <si>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</si>
  <si>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</si>
  <si>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</si>
  <si>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</si>
  <si>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</si>
  <si>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</si>
  <si>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</si>
  <si>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</si>
  <si>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</si>
  <si>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</si>
  <si>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</si>
  <si>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</si>
  <si>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</si>
  <si>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</si>
  <si>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</si>
  <si>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</si>
  <si>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</si>
  <si>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</si>
  <si>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</si>
  <si>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</si>
  <si>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</si>
  <si>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</si>
  <si>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</si>
  <si>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</si>
  <si>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</si>
  <si>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</si>
  <si>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</si>
  <si>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</si>
  <si>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</si>
  <si>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</si>
  <si>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</si>
  <si>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</si>
  <si>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</si>
  <si>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</si>
  <si>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</si>
  <si>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</si>
  <si>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</si>
  <si>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</si>
  <si>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</si>
  <si>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</si>
  <si>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</si>
  <si>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</si>
  <si>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</si>
  <si>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</si>
  <si>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</si>
  <si>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</si>
  <si>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</si>
  <si>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</si>
  <si>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</si>
  <si>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</si>
  <si>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</si>
  <si>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</si>
  <si>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</si>
  <si>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</si>
  <si>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</si>
  <si>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</si>
  <si>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</si>
  <si>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</si>
  <si>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</si>
  <si>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</si>
  <si>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</si>
  <si>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</si>
  <si>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</si>
  <si>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</si>
  <si>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</si>
  <si>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</si>
  <si>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</si>
  <si>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</si>
  <si>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</si>
  <si>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</si>
  <si>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</si>
  <si>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</si>
  <si>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</si>
  <si>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</si>
  <si>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</si>
  <si>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</si>
  <si>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</si>
  <si>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</si>
  <si>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</si>
  <si>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</si>
  <si>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</si>
  <si>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</si>
  <si>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</si>
  <si>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</si>
  <si>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</si>
  <si>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</si>
  <si>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</si>
  <si>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</si>
  <si>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</si>
  <si>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</si>
  <si>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</si>
  <si>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</si>
  <si>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</si>
  <si>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</si>
  <si>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</si>
  <si>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</si>
  <si>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</si>
  <si>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</si>
  <si>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</si>
  <si>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</si>
  <si>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</si>
  <si>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</si>
  <si>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</si>
  <si>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</si>
  <si>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</si>
  <si>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</si>
  <si>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</si>
  <si>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</si>
  <si>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</si>
  <si>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</si>
  <si>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</si>
  <si>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</si>
  <si>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</si>
  <si>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</si>
  <si>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</si>
  <si>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</si>
  <si>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</si>
  <si>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</si>
  <si>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</si>
  <si>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</si>
  <si>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</si>
  <si>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</si>
  <si>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</si>
  <si>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</si>
  <si>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</si>
  <si>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</si>
  <si>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</si>
  <si>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</si>
  <si>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</si>
  <si>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</si>
  <si>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</si>
  <si>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</si>
  <si>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</si>
  <si>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</si>
  <si>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</si>
  <si>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</si>
  <si>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</si>
  <si>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</si>
  <si>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</si>
  <si>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</si>
  <si>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</si>
  <si>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</si>
  <si>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</si>
  <si>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</si>
  <si>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</si>
  <si>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</si>
  <si>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</si>
  <si>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</si>
  <si>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</si>
  <si>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</si>
  <si>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</si>
  <si>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</si>
  <si>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</si>
  <si>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</si>
  <si>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</si>
  <si>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</si>
  <si>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</si>
  <si>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</si>
  <si>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</si>
  <si>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</si>
  <si>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</si>
  <si>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</si>
  <si>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</si>
  <si>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</si>
  <si>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</si>
  <si>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</si>
  <si>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</si>
  <si>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</si>
  <si>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</si>
  <si>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</si>
  <si>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</si>
  <si>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</si>
  <si>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</si>
  <si>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</si>
  <si>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</si>
  <si>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</si>
  <si>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</si>
  <si>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</si>
  <si>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</si>
  <si>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</si>
  <si>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</si>
  <si>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</si>
  <si>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</si>
  <si>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</si>
  <si>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</si>
  <si>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</si>
  <si>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</si>
  <si>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</si>
  <si>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</si>
  <si>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</si>
  <si>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</si>
  <si>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</si>
  <si>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</si>
  <si>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</si>
  <si>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</si>
  <si>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</si>
  <si>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</si>
  <si>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</si>
  <si>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</si>
  <si>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</si>
  <si>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</si>
  <si>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</si>
  <si>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</si>
  <si>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</si>
  <si>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</si>
  <si>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</si>
  <si>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</si>
  <si>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</si>
  <si>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</si>
  <si>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</si>
  <si>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</si>
  <si>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</si>
  <si>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</si>
  <si>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</si>
  <si>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</si>
  <si>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</si>
  <si>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</si>
  <si>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</si>
  <si>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</si>
  <si>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</si>
  <si>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</si>
  <si>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</si>
  <si>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</si>
  <si>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</si>
  <si>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</si>
  <si>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</si>
  <si>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</si>
  <si>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</si>
  <si>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</si>
  <si>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</si>
  <si>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</si>
  <si>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</si>
  <si>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</si>
  <si>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</si>
  <si>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</si>
  <si>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</si>
  <si>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</si>
  <si>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</si>
  <si>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</si>
  <si>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</si>
  <si>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</si>
  <si>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</si>
  <si>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</si>
  <si>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</si>
  <si>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</si>
  <si>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</si>
  <si>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</si>
  <si>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</si>
  <si>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</si>
  <si>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</si>
  <si>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</si>
  <si>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</si>
  <si>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</si>
  <si>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</si>
  <si>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</si>
  <si>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</si>
  <si>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</si>
  <si>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</si>
  <si>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</si>
  <si>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</si>
  <si>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</si>
  <si>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</si>
  <si>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</si>
  <si>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</si>
  <si>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</si>
  <si>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</si>
  <si>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</si>
  <si>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</si>
  <si>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</si>
  <si>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</si>
  <si>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</si>
  <si>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</si>
  <si>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</si>
  <si>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</si>
  <si>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</si>
  <si>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</si>
  <si>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</si>
  <si>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</si>
  <si>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</si>
  <si>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</si>
  <si>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</si>
  <si>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</si>
  <si>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</si>
  <si>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</si>
  <si>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</si>
  <si>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</si>
  <si>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</si>
  <si>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</si>
  <si>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</si>
  <si>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</si>
  <si>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</si>
  <si>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</si>
  <si>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</si>
  <si>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</si>
  <si>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</si>
  <si>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</si>
  <si>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</si>
  <si>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</si>
  <si>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</si>
  <si>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</si>
  <si>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</si>
  <si>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</si>
  <si>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</si>
  <si>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</si>
  <si>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</si>
  <si>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</si>
  <si>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</si>
  <si>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</si>
  <si>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</si>
  <si>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</si>
  <si>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</si>
  <si>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</si>
  <si>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</si>
  <si>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</si>
  <si>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</si>
  <si>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</si>
  <si>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</si>
  <si>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</si>
  <si>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</si>
  <si>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</si>
  <si>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</si>
  <si>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</si>
  <si>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</si>
  <si>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</si>
  <si>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</si>
  <si>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</si>
  <si>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</si>
  <si>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</si>
  <si>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</si>
  <si>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</si>
  <si>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</si>
  <si>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</si>
  <si>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</si>
  <si>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</si>
  <si>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</si>
  <si>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</si>
  <si>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</si>
  <si>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</si>
  <si>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</si>
  <si>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</si>
  <si>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</si>
  <si>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</si>
  <si>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</si>
  <si>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</si>
  <si>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</si>
  <si>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</si>
  <si>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</si>
  <si>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</si>
  <si>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</si>
  <si>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</si>
  <si>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</si>
  <si>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</si>
  <si>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</si>
  <si>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</si>
  <si>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</si>
  <si>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</si>
  <si>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</si>
  <si>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</si>
  <si>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</si>
  <si>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</si>
  <si>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</si>
  <si>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</si>
  <si>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</si>
  <si>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</si>
  <si>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</si>
  <si>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</si>
  <si>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</si>
  <si>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</si>
  <si>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</si>
  <si>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</si>
  <si>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</si>
  <si>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</si>
  <si>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</si>
  <si>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</si>
  <si>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</si>
  <si>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</si>
  <si>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</si>
  <si>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</si>
  <si>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</si>
  <si>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</si>
  <si>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</si>
  <si>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</si>
  <si>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</si>
  <si>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</si>
  <si>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</si>
  <si>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</si>
  <si>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</si>
  <si>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</si>
  <si>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</si>
  <si>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</si>
  <si>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</si>
  <si>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</si>
  <si>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</si>
  <si>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</si>
  <si>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</si>
  <si>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</si>
  <si>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</si>
  <si>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</si>
  <si>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</si>
  <si>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</si>
  <si>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</si>
  <si>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</si>
  <si>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</si>
  <si>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</si>
  <si>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</si>
  <si>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</si>
  <si>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</si>
  <si>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</si>
  <si>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</si>
  <si>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</si>
  <si>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</si>
  <si>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</si>
  <si>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</si>
  <si>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</si>
  <si>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</si>
  <si>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</si>
  <si>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</si>
  <si>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</si>
  <si>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</si>
  <si>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</si>
  <si>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</si>
  <si>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</si>
  <si>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</si>
  <si>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</si>
  <si>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</si>
  <si>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</si>
  <si>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</si>
  <si>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</si>
  <si>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</si>
  <si>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</si>
  <si>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</si>
  <si>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</si>
  <si>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</si>
  <si>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</si>
  <si>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</si>
  <si>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</si>
  <si>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</si>
  <si>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</si>
  <si>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</si>
  <si>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</si>
  <si>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</si>
  <si>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</si>
  <si>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</si>
  <si>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</si>
  <si>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</si>
  <si>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</si>
  <si>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</si>
  <si>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</si>
  <si>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</si>
  <si>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</si>
  <si>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</si>
  <si>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</si>
  <si>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</si>
  <si>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</si>
  <si>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</si>
  <si>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</si>
  <si>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</si>
  <si>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</si>
  <si>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</si>
  <si>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</si>
  <si>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</si>
  <si>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</si>
  <si>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</si>
  <si>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</si>
  <si>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</si>
  <si>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</si>
  <si>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</si>
  <si>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</si>
  <si>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</si>
  <si>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</si>
  <si>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</si>
  <si>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</si>
  <si>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</si>
  <si>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</si>
  <si>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</si>
  <si>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</si>
  <si>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</si>
  <si>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</si>
  <si>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</si>
  <si>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</si>
  <si>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</si>
  <si>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</si>
  <si>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</si>
  <si>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</si>
  <si>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</si>
  <si>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</si>
  <si>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</si>
  <si>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</si>
  <si>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</si>
  <si>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</si>
  <si>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</si>
  <si>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</si>
  <si>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</si>
  <si>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</si>
  <si>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</si>
  <si>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</si>
  <si>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</si>
  <si>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</si>
  <si>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</si>
  <si>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</si>
  <si>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</si>
  <si>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</si>
  <si>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</si>
  <si>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</si>
  <si>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</si>
  <si>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</si>
  <si>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</si>
  <si>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</si>
  <si>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</si>
  <si>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</si>
  <si>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</si>
  <si>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</si>
  <si>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</si>
  <si>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</si>
  <si>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</si>
  <si>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</si>
  <si>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</si>
  <si>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</si>
  <si>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</si>
  <si>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</si>
  <si>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</si>
  <si>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</si>
  <si>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</si>
  <si>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</si>
  <si>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</si>
  <si>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</si>
  <si>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</si>
  <si>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</si>
  <si>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</si>
  <si>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</si>
  <si>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</si>
  <si>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</si>
  <si>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</si>
  <si>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</si>
  <si>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</si>
  <si>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</si>
  <si>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</si>
  <si>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</si>
  <si>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</si>
  <si>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</si>
  <si>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</si>
  <si>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</si>
  <si>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</si>
  <si>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</si>
  <si>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</si>
  <si>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</si>
  <si>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</si>
  <si>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</si>
  <si>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</si>
  <si>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</si>
  <si>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</si>
  <si>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</si>
  <si>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</si>
  <si>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</si>
  <si>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</si>
  <si>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</si>
  <si>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</si>
  <si>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</si>
  <si>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</si>
  <si>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</si>
  <si>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</si>
  <si>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</si>
  <si>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</si>
  <si>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</si>
  <si>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</si>
  <si>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</si>
  <si>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</si>
  <si>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</si>
  <si>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</si>
  <si>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</si>
  <si>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</si>
  <si>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</si>
  <si>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</si>
  <si>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</si>
  <si>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</si>
  <si>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</si>
  <si>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</si>
  <si>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</si>
  <si>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</si>
  <si>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</si>
  <si>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</si>
  <si>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</si>
  <si>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</si>
  <si>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</si>
  <si>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</si>
  <si>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</si>
  <si>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</si>
  <si>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</si>
  <si>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</si>
  <si>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</si>
  <si>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</si>
  <si>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</si>
  <si>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</si>
  <si>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</si>
  <si>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</si>
  <si>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</si>
  <si>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</si>
  <si>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</si>
  <si>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</si>
  <si>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</si>
  <si>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</si>
  <si>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</si>
  <si>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</si>
  <si>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</si>
  <si>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</si>
  <si>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</si>
  <si>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</si>
  <si>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</si>
  <si>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</si>
  <si>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</si>
  <si>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</si>
  <si>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</si>
  <si>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</si>
  <si>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</si>
  <si>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</si>
  <si>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</si>
  <si>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</si>
  <si>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</si>
  <si>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</si>
  <si>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</si>
  <si>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</si>
  <si>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</si>
  <si>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</si>
  <si>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</si>
  <si>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</si>
  <si>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</si>
  <si>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</si>
  <si>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</si>
  <si>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</si>
  <si>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</si>
  <si>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</si>
  <si>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</si>
  <si>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</si>
  <si>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</si>
  <si>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</si>
  <si>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</si>
  <si>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</si>
  <si>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</si>
  <si>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</si>
  <si>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</si>
  <si>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</si>
  <si>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</si>
  <si>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</si>
  <si>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</si>
  <si>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</si>
  <si>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</si>
  <si>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</si>
  <si>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</si>
  <si>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</si>
  <si>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</si>
  <si>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</si>
  <si>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</si>
  <si>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</si>
  <si>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</si>
  <si>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</si>
  <si>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</si>
  <si>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</si>
  <si>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</si>
  <si>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</si>
  <si>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</si>
  <si>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</si>
  <si>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</si>
  <si>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</si>
  <si>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</si>
  <si>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</si>
  <si>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</si>
  <si>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</si>
  <si>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</si>
  <si>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</si>
  <si>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</si>
  <si>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</si>
  <si>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</si>
  <si>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</si>
  <si>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</si>
  <si>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</si>
  <si>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</si>
  <si>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</si>
  <si>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</si>
  <si>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</si>
  <si>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</si>
  <si>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</si>
  <si>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</si>
  <si>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</si>
  <si>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</si>
  <si>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</si>
  <si>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</si>
  <si>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</si>
  <si>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</si>
  <si>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</si>
  <si>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</si>
  <si>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</si>
  <si>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</si>
  <si>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</si>
  <si>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</si>
  <si>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</si>
  <si>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</si>
  <si>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</si>
  <si>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</si>
  <si>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</si>
  <si>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</si>
  <si>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</si>
  <si>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</si>
  <si>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</si>
  <si>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</si>
  <si>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</si>
  <si>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</si>
  <si>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</si>
  <si>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</si>
  <si>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</si>
  <si>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</si>
  <si>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</si>
  <si>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</si>
  <si>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</si>
  <si>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</si>
  <si>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</si>
  <si>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</si>
  <si>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</si>
  <si>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</si>
  <si>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</si>
  <si>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</si>
  <si>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</si>
  <si>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</si>
  <si>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</si>
  <si>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</si>
  <si>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</si>
  <si>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</si>
  <si>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</si>
  <si>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</si>
  <si>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</si>
  <si>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</si>
  <si>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</si>
  <si>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</si>
  <si>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</si>
  <si>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</si>
  <si>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</si>
  <si>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</si>
  <si>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</si>
  <si>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</si>
  <si>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</si>
  <si>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</si>
  <si>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</si>
  <si>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</si>
  <si>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</si>
  <si>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</si>
  <si>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</si>
  <si>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</si>
  <si>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</si>
  <si>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</si>
  <si>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</si>
  <si>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</si>
  <si>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</si>
  <si>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</si>
  <si>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</si>
  <si>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</si>
  <si>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</si>
  <si>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</si>
  <si>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</si>
  <si>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</si>
  <si>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</si>
  <si>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</si>
  <si>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</si>
  <si>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</si>
  <si>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</si>
  <si>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</si>
  <si>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</si>
  <si>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</si>
  <si>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</si>
  <si>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</si>
  <si>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</si>
  <si>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</si>
  <si>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</si>
  <si>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</si>
  <si>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</si>
  <si>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</si>
  <si>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</si>
  <si>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</si>
  <si>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</si>
  <si>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</si>
  <si>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</si>
  <si>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</si>
  <si>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</si>
  <si>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</si>
  <si>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</si>
  <si>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</si>
  <si>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</si>
  <si>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</si>
  <si>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</si>
  <si>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</si>
  <si>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</si>
  <si>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</si>
  <si>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</si>
  <si>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</si>
  <si>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</si>
  <si>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</si>
  <si>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</si>
  <si>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</si>
  <si>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</si>
  <si>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</si>
  <si>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</si>
  <si>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</si>
  <si>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</si>
  <si>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</si>
  <si>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</si>
  <si>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</si>
  <si>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</si>
  <si>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</si>
  <si>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</si>
  <si>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</si>
  <si>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</si>
  <si>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</si>
  <si>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</si>
  <si>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</si>
  <si>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</si>
  <si>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</si>
  <si>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</si>
  <si>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</si>
  <si>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</si>
  <si>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</si>
  <si>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</si>
  <si>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</si>
  <si>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</si>
  <si>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</si>
  <si>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</si>
  <si>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</si>
  <si>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</si>
  <si>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</si>
  <si>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</si>
  <si>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</si>
  <si>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</si>
  <si>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</si>
  <si>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</si>
  <si>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</si>
  <si>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</si>
  <si>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</si>
  <si>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</si>
  <si>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</si>
  <si>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</si>
  <si>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</si>
  <si>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</si>
  <si>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</si>
  <si>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</si>
  <si>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</si>
  <si>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</si>
  <si>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</si>
  <si>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</si>
  <si>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</si>
  <si>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</si>
  <si>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</si>
  <si>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</si>
  <si>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</si>
  <si>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</si>
  <si>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</si>
  <si>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</si>
  <si>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</si>
  <si>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</si>
  <si>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</si>
  <si>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</si>
  <si>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</si>
  <si>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</si>
  <si>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</si>
  <si>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</si>
  <si>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</si>
  <si>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</si>
  <si>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</si>
  <si>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</si>
  <si>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</si>
  <si>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</si>
  <si>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</si>
  <si>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</si>
  <si>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</si>
  <si>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</si>
  <si>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</si>
  <si>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</si>
  <si>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</si>
  <si>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</si>
  <si>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</si>
  <si>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</si>
  <si>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</si>
  <si>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</si>
  <si>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</si>
  <si>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</si>
  <si>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</si>
  <si>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</si>
  <si>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</si>
  <si>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</si>
  <si>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</si>
  <si>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</si>
  <si>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</si>
  <si>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</si>
  <si>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</si>
  <si>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</si>
  <si>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</si>
  <si>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</si>
  <si>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</si>
  <si>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</si>
  <si>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</si>
  <si>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</si>
  <si>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</si>
  <si>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</si>
  <si>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</si>
  <si>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</si>
  <si>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</si>
  <si>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</si>
  <si>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</si>
  <si>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</si>
  <si>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</si>
  <si>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</si>
  <si>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</si>
  <si>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</si>
  <si>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</si>
  <si>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</si>
  <si>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</si>
  <si>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</si>
  <si>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</si>
  <si>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</si>
  <si>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</si>
  <si>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</si>
  <si>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</si>
  <si>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</si>
  <si>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</si>
  <si>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</si>
  <si>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</si>
  <si>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</si>
  <si>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</si>
  <si>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</si>
  <si>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</si>
  <si>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</si>
  <si>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</si>
  <si>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</si>
  <si>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</si>
  <si>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</si>
  <si>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</si>
  <si>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</si>
  <si>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</si>
  <si>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</si>
  <si>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</si>
  <si>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</si>
  <si>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</si>
  <si>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</si>
  <si>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</si>
  <si>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</si>
  <si>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</si>
  <si>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</si>
  <si>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</si>
  <si>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</si>
  <si>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</si>
  <si>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</si>
  <si>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</si>
  <si>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</si>
  <si>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</si>
  <si>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</si>
  <si>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</si>
  <si>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</si>
  <si>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</si>
  <si>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</si>
  <si>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</si>
  <si>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</si>
  <si>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</si>
  <si>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</si>
  <si>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</si>
  <si>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</si>
  <si>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</si>
  <si>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</si>
  <si>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</si>
  <si>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</si>
  <si>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</si>
  <si>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</si>
  <si>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</si>
  <si>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</si>
  <si>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</si>
  <si>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</si>
  <si>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</si>
  <si>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</si>
  <si>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</si>
  <si>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</si>
  <si>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</si>
  <si>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</si>
  <si>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</si>
  <si>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</si>
  <si>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</si>
  <si>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</si>
  <si>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</si>
  <si>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</si>
  <si>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</si>
  <si>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</si>
  <si>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</si>
  <si>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</si>
  <si>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</si>
  <si>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</si>
  <si>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</si>
  <si>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</si>
  <si>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</si>
  <si>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</si>
  <si>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</si>
  <si>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</si>
  <si>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</si>
  <si>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</si>
  <si>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</si>
  <si>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</si>
  <si>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</si>
  <si>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</si>
  <si>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</si>
  <si>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</si>
  <si>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</si>
  <si>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</si>
  <si>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</si>
  <si>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</si>
  <si>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</si>
  <si>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</si>
  <si>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</si>
  <si>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</si>
  <si>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</si>
  <si>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</si>
  <si>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</si>
  <si>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</si>
  <si>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</si>
  <si>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</si>
  <si>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</si>
  <si>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</si>
  <si>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</si>
  <si>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</si>
  <si>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</si>
  <si>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</si>
  <si>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</si>
  <si>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</si>
  <si>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</si>
  <si>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</si>
  <si>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</si>
  <si>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</si>
  <si>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</si>
  <si>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</si>
  <si>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</si>
  <si>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</si>
  <si>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</si>
  <si>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</si>
  <si>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</si>
  <si>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</si>
  <si>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</si>
  <si>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</si>
  <si>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</si>
  <si>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</si>
  <si>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</si>
  <si>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</si>
  <si>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</si>
  <si>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</si>
  <si>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</si>
  <si>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</si>
  <si>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</si>
  <si>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</si>
  <si>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</si>
  <si>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</si>
  <si>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</si>
  <si>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</si>
  <si>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</si>
  <si>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</si>
  <si>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</si>
  <si>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</si>
  <si>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</si>
  <si>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</si>
  <si>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</si>
  <si>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</si>
  <si>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</si>
  <si>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</si>
  <si>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</si>
  <si>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</si>
  <si>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</si>
  <si>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</si>
  <si>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</si>
  <si>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</si>
  <si>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</si>
  <si>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</si>
  <si>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</si>
  <si>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</si>
  <si>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</si>
  <si>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</si>
  <si>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</si>
  <si>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</si>
  <si>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</si>
  <si>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</si>
  <si>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</si>
  <si>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</si>
  <si>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</si>
  <si>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</si>
  <si>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</si>
  <si>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</si>
  <si>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</si>
  <si>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</si>
  <si>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</si>
  <si>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</si>
  <si>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</si>
  <si>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</si>
  <si>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</si>
  <si>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</si>
  <si>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</si>
  <si>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</si>
  <si>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</si>
  <si>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</si>
  <si>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</si>
  <si>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</si>
  <si>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</si>
  <si>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</si>
  <si>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</si>
  <si>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</si>
  <si>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</si>
  <si>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</si>
  <si>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</si>
  <si>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</si>
  <si>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</si>
  <si>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</si>
  <si>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</si>
  <si>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</si>
  <si>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</si>
  <si>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</si>
  <si>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</si>
  <si>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</si>
  <si>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</si>
  <si>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</si>
  <si>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</si>
  <si>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</si>
  <si>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</si>
  <si>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</si>
  <si>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</si>
  <si>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</si>
  <si>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</si>
  <si>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</si>
  <si>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</si>
  <si>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</si>
  <si>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</si>
  <si>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</si>
  <si>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</si>
  <si>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</si>
  <si>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</si>
  <si>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</si>
  <si>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</si>
  <si>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</si>
  <si>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</si>
  <si>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</si>
  <si>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</si>
  <si>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</si>
  <si>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</si>
  <si>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</si>
  <si>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</si>
  <si>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</si>
  <si>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</si>
  <si>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</si>
  <si>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</si>
  <si>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</si>
  <si>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</si>
  <si>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</si>
  <si>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</si>
  <si>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</si>
  <si>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</si>
  <si>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</si>
  <si>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</si>
  <si>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</si>
  <si>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</si>
  <si>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</si>
  <si>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</si>
  <si>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</si>
  <si>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</si>
  <si>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</si>
  <si>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</si>
  <si>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</si>
  <si>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</si>
  <si>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</si>
  <si>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</si>
  <si>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</si>
  <si>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</si>
  <si>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</si>
  <si>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</si>
  <si>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</si>
  <si>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</si>
  <si>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</si>
  <si>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</si>
  <si>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</si>
  <si>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</si>
  <si>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</si>
  <si>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</si>
  <si>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</si>
  <si>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</si>
  <si>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</si>
  <si>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</si>
  <si>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</si>
  <si>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</si>
  <si>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</si>
  <si>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</si>
  <si>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</si>
  <si>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</si>
  <si>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</si>
  <si>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</si>
  <si>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</si>
  <si>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</si>
  <si>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</si>
  <si>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</si>
  <si>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</si>
  <si>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</si>
  <si>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</si>
  <si>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</si>
  <si>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</si>
  <si>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</si>
  <si>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</si>
  <si>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</si>
  <si>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</si>
  <si>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</si>
  <si>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</si>
  <si>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</si>
  <si>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</si>
  <si>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</si>
  <si>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</si>
  <si>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</si>
  <si>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</si>
  <si>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</si>
  <si>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</si>
  <si>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</si>
  <si>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</si>
  <si>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</si>
  <si>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</si>
  <si>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</si>
  <si>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</si>
  <si>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</si>
  <si>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</si>
  <si>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</si>
  <si>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</si>
  <si>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</si>
  <si>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</si>
  <si>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</si>
  <si>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</si>
  <si>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</si>
  <si>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</si>
  <si>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</si>
  <si>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</si>
  <si>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</si>
  <si>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</si>
  <si>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</si>
  <si>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</si>
  <si>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</si>
  <si>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</si>
  <si>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</si>
  <si>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</si>
  <si>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</si>
  <si>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</si>
  <si>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</si>
  <si>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</si>
  <si>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</si>
  <si>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</si>
  <si>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</si>
  <si>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</si>
  <si>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</si>
  <si>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</si>
  <si>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</si>
  <si>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</si>
  <si>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</si>
  <si>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</si>
  <si>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</si>
  <si>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</si>
  <si>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</si>
  <si>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</si>
  <si>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</si>
  <si>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</si>
  <si>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</si>
  <si>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</si>
  <si>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</si>
  <si>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</si>
  <si>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</si>
  <si>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</si>
  <si>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</si>
  <si>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</si>
  <si>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</si>
  <si>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</si>
  <si>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</si>
  <si>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</si>
  <si>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</si>
  <si>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</si>
  <si>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</si>
  <si>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</si>
  <si>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</si>
  <si>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</si>
  <si>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</si>
  <si>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</si>
  <si>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</si>
  <si>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</si>
  <si>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</si>
  <si>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</si>
  <si>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</si>
  <si>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</si>
  <si>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</si>
  <si>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</si>
  <si>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</si>
  <si>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</si>
  <si>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</si>
  <si>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</si>
  <si>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</si>
  <si>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</si>
  <si>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</si>
  <si>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</si>
  <si>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</si>
  <si>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</si>
  <si>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</si>
  <si>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</si>
  <si>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</si>
  <si>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</si>
  <si>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</si>
  <si>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</si>
  <si>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</si>
  <si>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</si>
  <si>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</si>
  <si>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</si>
  <si>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</si>
  <si>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</si>
  <si>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</si>
  <si>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</si>
  <si>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</si>
  <si>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</si>
  <si>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</si>
  <si>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</si>
  <si>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</si>
  <si>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</si>
  <si>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</si>
  <si>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</si>
  <si>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</si>
  <si>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</si>
  <si>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</si>
  <si>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</si>
  <si>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</si>
  <si>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</si>
  <si>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</si>
  <si>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</si>
  <si>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</si>
  <si>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</si>
  <si>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</si>
  <si>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</si>
  <si>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</si>
  <si>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</si>
  <si>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</si>
  <si>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</si>
  <si>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</si>
  <si>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</si>
  <si>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</si>
  <si>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</si>
  <si>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</si>
  <si>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</si>
  <si>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</si>
  <si>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</si>
  <si>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</si>
  <si>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</si>
  <si>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</si>
  <si>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</si>
  <si>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</si>
  <si>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</si>
  <si>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</si>
  <si>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</si>
  <si>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</si>
  <si>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</si>
  <si>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</si>
  <si>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</si>
  <si>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</si>
  <si>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</si>
  <si>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</si>
  <si>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</si>
  <si>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</si>
  <si>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</si>
  <si>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</si>
  <si>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</si>
  <si>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</si>
  <si>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</si>
  <si>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</si>
  <si>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</si>
  <si>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</si>
  <si>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</si>
  <si>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</si>
  <si>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</si>
  <si>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</si>
  <si>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</si>
  <si>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</si>
  <si>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</si>
  <si>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</si>
  <si>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</si>
  <si>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</si>
  <si>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</si>
  <si>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</si>
  <si>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</si>
  <si>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</si>
  <si>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</si>
  <si>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</si>
  <si>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</si>
  <si>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</si>
  <si>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</si>
  <si>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</si>
  <si>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</si>
  <si>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</si>
  <si>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</si>
  <si>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</si>
  <si>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</si>
  <si>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</si>
  <si>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</si>
  <si>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</si>
  <si>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</si>
  <si>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</si>
  <si>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</si>
  <si>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</si>
  <si>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</si>
  <si>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</si>
  <si>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</si>
  <si>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</si>
  <si>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</si>
  <si>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</si>
  <si>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</si>
  <si>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</si>
  <si>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</si>
  <si>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</si>
  <si>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</si>
  <si>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</si>
  <si>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</si>
  <si>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</si>
  <si>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</si>
  <si>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</si>
  <si>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</si>
  <si>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</si>
  <si>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</si>
  <si>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</si>
  <si>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</si>
  <si>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</si>
  <si>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</si>
  <si>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</si>
  <si>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</si>
  <si>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</si>
  <si>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</si>
  <si>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</si>
  <si>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</si>
  <si>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</si>
  <si>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</si>
  <si>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</si>
  <si>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</si>
  <si>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</si>
  <si>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</si>
  <si>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</si>
  <si>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</si>
  <si>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</si>
  <si>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</si>
  <si>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</si>
  <si>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</si>
  <si>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</si>
  <si>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</si>
  <si>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</si>
  <si>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</si>
  <si>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</si>
  <si>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</si>
  <si>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</si>
  <si>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</si>
  <si>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</si>
  <si>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</si>
  <si>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</si>
  <si>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</si>
  <si>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</si>
  <si>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</si>
  <si>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</si>
  <si>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</si>
  <si>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</si>
  <si>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</si>
  <si>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</si>
  <si>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</si>
  <si>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</si>
  <si>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</si>
  <si>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</si>
  <si>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</si>
  <si>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</si>
  <si>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</si>
  <si>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</si>
  <si>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</si>
  <si>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</si>
  <si>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</si>
  <si>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</si>
  <si>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</si>
  <si>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</si>
  <si>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</si>
  <si>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</si>
  <si>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</si>
  <si>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</si>
  <si>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</si>
  <si>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</si>
  <si>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</si>
  <si>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</si>
  <si>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</si>
  <si>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</si>
  <si>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</si>
  <si>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</si>
  <si>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</si>
  <si>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</si>
  <si>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</si>
  <si>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</si>
  <si>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</si>
  <si>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</si>
  <si>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</si>
  <si>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</si>
  <si>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</si>
  <si>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</si>
  <si>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</si>
  <si>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</si>
  <si>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</si>
  <si>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</si>
  <si>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</si>
  <si>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</si>
  <si>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</si>
  <si>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</si>
  <si>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</si>
  <si>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</si>
  <si>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</si>
  <si>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</si>
  <si>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</si>
  <si>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</si>
  <si>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</si>
  <si>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</si>
  <si>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</si>
  <si>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</si>
  <si>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</si>
  <si>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</si>
  <si>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</si>
  <si>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</si>
  <si>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</si>
  <si>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</si>
  <si>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</si>
  <si>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</si>
  <si>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</si>
  <si>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</si>
  <si>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</si>
  <si>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</si>
  <si>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</si>
  <si>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</si>
  <si>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</si>
  <si>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</si>
  <si>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</si>
  <si>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</si>
  <si>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</si>
  <si>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</si>
  <si>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</si>
  <si>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</si>
  <si>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</si>
  <si>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</si>
  <si>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</si>
  <si>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</si>
  <si>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</si>
  <si>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</si>
  <si>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</si>
  <si>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</si>
  <si>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</si>
  <si>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</si>
  <si>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</si>
  <si>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</si>
  <si>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</si>
  <si>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</si>
  <si>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</si>
  <si>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</si>
  <si>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</si>
  <si>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</si>
  <si>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</si>
  <si>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</si>
  <si>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</si>
  <si>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</si>
  <si>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</si>
  <si>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</si>
  <si>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</si>
  <si>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</si>
  <si>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</si>
  <si>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</si>
  <si>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</si>
  <si>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</si>
  <si>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</si>
  <si>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</si>
  <si>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</si>
  <si>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</si>
  <si>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</si>
  <si>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</si>
  <si>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</si>
  <si>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</si>
  <si>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</si>
  <si>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</si>
  <si>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</si>
  <si>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</si>
  <si>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</si>
  <si>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</si>
  <si>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</si>
  <si>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</si>
  <si>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</si>
  <si>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</si>
  <si>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</si>
  <si>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</si>
  <si>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</si>
  <si>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</si>
  <si>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</si>
  <si>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</si>
  <si>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</si>
  <si>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</si>
  <si>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</si>
  <si>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</si>
  <si>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</si>
  <si>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</si>
  <si>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</si>
  <si>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</si>
  <si>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</si>
  <si>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</si>
  <si>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</si>
  <si>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</si>
  <si>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</si>
  <si>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</si>
  <si>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</si>
  <si>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</si>
  <si>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</si>
  <si>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</si>
  <si>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</si>
  <si>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</si>
  <si>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</si>
  <si>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</si>
  <si>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</si>
  <si>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</si>
  <si>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</si>
  <si>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</si>
  <si>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</si>
  <si>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</si>
  <si>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</si>
  <si>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</si>
  <si>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</si>
  <si>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</si>
  <si>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</si>
  <si>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</si>
  <si>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</si>
  <si>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</si>
  <si>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</si>
  <si>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</si>
  <si>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</si>
  <si>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</si>
  <si>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</si>
  <si>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</si>
  <si>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</si>
  <si>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</si>
  <si>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</si>
  <si>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</si>
  <si>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</si>
  <si>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</si>
  <si>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</si>
  <si>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</si>
  <si>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</si>
  <si>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</si>
  <si>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</si>
  <si>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</si>
  <si>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</si>
  <si>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</si>
  <si>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</si>
  <si>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</si>
  <si>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</si>
  <si>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</si>
  <si>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</si>
  <si>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</si>
  <si>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</si>
  <si>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</si>
  <si>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</si>
  <si>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</si>
  <si>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</si>
  <si>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</si>
  <si>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</si>
  <si>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</si>
  <si>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</si>
  <si>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</si>
  <si>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</si>
  <si>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</si>
  <si>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</si>
  <si>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</si>
  <si>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</si>
  <si>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</si>
  <si>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</si>
  <si>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</si>
  <si>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</si>
  <si>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</si>
  <si>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</si>
  <si>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</si>
  <si>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</si>
  <si>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</si>
  <si>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</si>
  <si>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</si>
  <si>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</si>
  <si>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</si>
  <si>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</si>
  <si>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</si>
  <si>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</si>
  <si>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</si>
  <si>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</si>
  <si>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</si>
  <si>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</si>
  <si>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</si>
  <si>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</si>
  <si>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</si>
  <si>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</si>
  <si>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</si>
  <si>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</si>
  <si>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</si>
  <si>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</si>
  <si>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</si>
  <si>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</si>
  <si>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</si>
  <si>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</si>
  <si>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</si>
  <si>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</si>
  <si>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</si>
  <si>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</si>
  <si>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</si>
  <si>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</si>
  <si>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</si>
  <si>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</si>
  <si>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</si>
  <si>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</si>
  <si>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</si>
  <si>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</si>
  <si>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</si>
  <si>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</si>
  <si>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</si>
  <si>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</si>
  <si>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</si>
  <si>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</si>
  <si>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</si>
  <si>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</si>
  <si>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</si>
  <si>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</si>
  <si>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</si>
  <si>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</si>
  <si>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</si>
  <si>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</si>
  <si>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</si>
  <si>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</si>
  <si>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</si>
  <si>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</si>
  <si>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</si>
  <si>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</si>
  <si>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</si>
  <si>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</si>
  <si>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</si>
  <si>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</si>
  <si>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</si>
  <si>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</si>
  <si>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</si>
  <si>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</si>
  <si>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</si>
  <si>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</si>
  <si>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</si>
  <si>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</si>
  <si>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</si>
  <si>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</si>
  <si>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</si>
  <si>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</si>
  <si>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</si>
  <si>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</si>
  <si>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</si>
  <si>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</si>
  <si>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</si>
  <si>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</si>
  <si>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</si>
  <si>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</si>
  <si>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</si>
  <si>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</si>
  <si>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</si>
  <si>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</si>
  <si>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</si>
  <si>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</si>
  <si>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</si>
  <si>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</si>
  <si>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</si>
  <si>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</si>
  <si>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</si>
  <si>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</si>
  <si>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</si>
  <si>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</si>
  <si>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</si>
  <si>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</si>
  <si>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</si>
  <si>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</si>
  <si>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</si>
  <si>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</si>
  <si>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</si>
  <si>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</si>
  <si>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</si>
  <si>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</si>
  <si>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</si>
  <si>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</si>
  <si>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</si>
  <si>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</si>
  <si>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</si>
  <si>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</si>
  <si>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</si>
  <si>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</si>
  <si>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</si>
  <si>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</si>
  <si>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</si>
  <si>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</si>
  <si>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</si>
  <si>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</si>
  <si>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</si>
  <si>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</si>
  <si>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</si>
  <si>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</si>
  <si>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</si>
  <si>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</si>
  <si>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</si>
  <si>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</si>
  <si>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</si>
  <si>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</si>
  <si>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</si>
  <si>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</si>
  <si>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</si>
  <si>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</si>
  <si>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</si>
  <si>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</si>
  <si>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</si>
  <si>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</si>
  <si>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</si>
  <si>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</si>
  <si>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</si>
  <si>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</si>
  <si>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</si>
  <si>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</si>
  <si>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</si>
  <si>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</si>
  <si>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</si>
  <si>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</si>
  <si>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</si>
  <si>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</si>
  <si>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</si>
  <si>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</si>
  <si>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</si>
  <si>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</si>
  <si>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</si>
  <si>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</si>
  <si>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</si>
  <si>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</si>
  <si>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</si>
  <si>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</si>
  <si>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</si>
  <si>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</si>
  <si>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</si>
  <si>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</si>
  <si>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</si>
  <si>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</si>
  <si>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</si>
  <si>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</si>
  <si>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</si>
  <si>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</si>
  <si>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</si>
  <si>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</si>
  <si>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</si>
  <si>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</si>
  <si>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</si>
  <si>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</si>
  <si>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</si>
  <si>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</si>
  <si>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</si>
  <si>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</si>
  <si>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</si>
  <si>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</si>
  <si>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</si>
  <si>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</si>
  <si>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</si>
  <si>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</si>
  <si>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</si>
  <si>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</si>
  <si>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</si>
  <si>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</si>
  <si>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</si>
  <si>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</si>
  <si>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</si>
  <si>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</si>
  <si>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</si>
  <si>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</si>
  <si>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</si>
  <si>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</si>
  <si>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</si>
  <si>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</si>
  <si>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</si>
  <si>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</si>
  <si>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</si>
  <si>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</si>
  <si>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</si>
  <si>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</si>
  <si>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</si>
  <si>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</si>
  <si>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</si>
  <si>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</si>
  <si>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</si>
  <si>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</si>
  <si>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</si>
  <si>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</si>
  <si>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</si>
  <si>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</si>
  <si>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</si>
  <si>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</si>
  <si>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</si>
  <si>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</si>
  <si>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</si>
  <si>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</si>
  <si>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</si>
  <si>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</si>
  <si>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</si>
  <si>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</si>
  <si>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</si>
  <si>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</si>
  <si>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</si>
  <si>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</si>
  <si>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</si>
  <si>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</si>
  <si>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</si>
  <si>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</si>
  <si>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</si>
  <si>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</si>
  <si>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</si>
  <si>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</si>
  <si>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</si>
  <si>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</si>
  <si>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</si>
  <si>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</si>
  <si>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</si>
  <si>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</si>
  <si>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</si>
  <si>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</si>
  <si>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</si>
  <si>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</si>
  <si>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</si>
  <si>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</si>
  <si>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</si>
  <si>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</si>
  <si>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</si>
  <si>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</si>
  <si>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</si>
  <si>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</si>
  <si>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</si>
  <si>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</si>
  <si>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</si>
  <si>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</si>
  <si>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</si>
  <si>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</si>
  <si>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</si>
  <si>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</si>
  <si>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</si>
  <si>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</si>
  <si>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</si>
  <si>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</si>
  <si>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</si>
  <si>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</si>
  <si>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</si>
  <si>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</si>
  <si>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</si>
  <si>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</si>
  <si>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</si>
  <si>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</si>
  <si>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</si>
  <si>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</si>
  <si>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</si>
  <si>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</si>
  <si>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</si>
  <si>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</si>
  <si>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</si>
  <si>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</si>
  <si>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</si>
  <si>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</si>
  <si>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</si>
  <si>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</si>
  <si>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</si>
  <si>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</si>
  <si>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</si>
  <si>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</si>
  <si>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</si>
  <si>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</si>
  <si>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</si>
  <si>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</si>
  <si>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</si>
  <si>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</si>
  <si>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</si>
  <si>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</si>
  <si>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</si>
  <si>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</si>
  <si>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</si>
  <si>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</si>
  <si>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</si>
  <si>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</si>
  <si>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</si>
  <si>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</si>
  <si>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</si>
  <si>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</si>
  <si>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</si>
  <si>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</si>
  <si>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</si>
  <si>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</si>
  <si>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</si>
  <si>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</si>
  <si>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</si>
  <si>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</si>
  <si>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</si>
  <si>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</si>
  <si>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</si>
  <si>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</si>
  <si>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</si>
  <si>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</si>
  <si>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</si>
  <si>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</si>
  <si>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</si>
  <si>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</si>
  <si>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</si>
  <si>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</si>
  <si>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</si>
  <si>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</si>
  <si>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</si>
  <si>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</si>
  <si>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</si>
  <si>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</si>
  <si>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</si>
  <si>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</si>
  <si>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</si>
  <si>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</si>
  <si>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</si>
  <si>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</si>
  <si>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</si>
  <si>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</si>
  <si>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</si>
  <si>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</si>
  <si>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</si>
  <si>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</si>
  <si>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</si>
  <si>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</si>
  <si>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</si>
  <si>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</si>
  <si>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</si>
  <si>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</si>
  <si>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</si>
  <si>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</si>
  <si>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</si>
  <si>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</si>
  <si>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</si>
  <si>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</si>
  <si>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</si>
  <si>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</si>
  <si>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</si>
  <si>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</si>
  <si>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</si>
  <si>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</si>
  <si>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</si>
  <si>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</si>
  <si>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</si>
  <si>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</si>
  <si>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</si>
  <si>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</si>
  <si>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</si>
  <si>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</si>
  <si>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</si>
  <si>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</si>
  <si>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</si>
  <si>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</si>
  <si>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</si>
  <si>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</si>
  <si>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</si>
  <si>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</si>
  <si>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</si>
  <si>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</si>
  <si>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</si>
  <si>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</si>
  <si>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</si>
  <si>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</si>
  <si>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</si>
  <si>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</si>
  <si>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</si>
  <si>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</si>
  <si>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</si>
  <si>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</si>
  <si>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</si>
  <si>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</si>
  <si>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</si>
  <si>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</si>
  <si>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</si>
  <si>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</si>
  <si>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</si>
  <si>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</si>
  <si>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</si>
  <si>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</si>
  <si>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</si>
  <si>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</si>
  <si>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</si>
  <si>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</si>
  <si>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</si>
  <si>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</si>
  <si>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</si>
  <si>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</si>
  <si>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</si>
  <si>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</si>
  <si>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</si>
  <si>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</si>
  <si>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</si>
  <si>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</si>
  <si>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</si>
  <si>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</si>
  <si>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</si>
  <si>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</si>
  <si>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</si>
  <si>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</si>
  <si>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</si>
  <si>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</si>
  <si>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</si>
  <si>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</si>
  <si>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</si>
  <si>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</si>
  <si>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</si>
  <si>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</si>
  <si>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</si>
  <si>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</si>
  <si>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</si>
  <si>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</si>
  <si>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</si>
  <si>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</si>
  <si>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</si>
  <si>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</si>
  <si>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</si>
  <si>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</si>
  <si>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</si>
  <si>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</si>
  <si>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</si>
  <si>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</si>
  <si>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</si>
  <si>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</si>
  <si>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</si>
  <si>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</si>
  <si>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</si>
  <si>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</si>
  <si>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</si>
  <si>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</si>
  <si>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</si>
  <si>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</si>
  <si>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</si>
  <si>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</si>
  <si>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</si>
  <si>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</si>
  <si>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</si>
  <si>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</si>
  <si>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</si>
  <si>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</si>
  <si>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</si>
  <si>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</si>
  <si>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</si>
  <si>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</si>
  <si>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</si>
  <si>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</si>
  <si>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</si>
  <si>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</si>
  <si>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</si>
  <si>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</si>
  <si>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</si>
  <si>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</si>
  <si>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</si>
  <si>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</si>
  <si>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</si>
  <si>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</si>
  <si>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</si>
  <si>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</si>
  <si>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</si>
  <si>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</si>
  <si>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</si>
  <si>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</si>
  <si>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</si>
  <si>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</si>
  <si>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</si>
  <si>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</si>
  <si>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</si>
  <si>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</si>
  <si>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</si>
  <si>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</si>
  <si>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</si>
  <si>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</si>
  <si>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</si>
  <si>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</si>
  <si>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</si>
  <si>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</si>
  <si>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</si>
  <si>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</si>
  <si>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</si>
  <si>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</si>
  <si>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</si>
  <si>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</si>
  <si>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</si>
  <si>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</si>
  <si>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</si>
  <si>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</si>
  <si>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</si>
  <si>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</si>
  <si>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</si>
  <si>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</si>
  <si>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</si>
  <si>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</si>
  <si>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</si>
  <si>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</si>
  <si>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</si>
  <si>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</si>
  <si>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</si>
  <si>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</si>
  <si>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</si>
  <si>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</si>
  <si>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</si>
  <si>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</si>
  <si>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</si>
  <si>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</si>
  <si>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</si>
  <si>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</si>
  <si>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</si>
  <si>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</si>
  <si>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</si>
  <si>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</si>
  <si>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</si>
  <si>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</si>
  <si>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</si>
  <si>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</si>
  <si>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</si>
  <si>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</si>
  <si>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</si>
  <si>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</si>
  <si>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</si>
  <si>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</si>
  <si>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</si>
  <si>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</si>
  <si>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</si>
  <si>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</si>
  <si>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</si>
  <si>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</si>
  <si>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</si>
  <si>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</si>
  <si>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</si>
  <si>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</si>
  <si>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</si>
  <si>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</si>
  <si>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</si>
  <si>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</si>
  <si>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</si>
  <si>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</si>
  <si>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</si>
  <si>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</si>
  <si>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</si>
  <si>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</si>
  <si>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</si>
  <si>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</si>
  <si>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</si>
  <si>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</si>
  <si>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</si>
  <si>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</si>
  <si>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</si>
  <si>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</si>
  <si>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</si>
  <si>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</si>
  <si>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</si>
  <si>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</si>
  <si>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</si>
  <si>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</si>
  <si>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</si>
  <si>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</si>
  <si>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</si>
  <si>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</si>
  <si>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</si>
  <si>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</si>
  <si>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</si>
  <si>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</si>
  <si>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</si>
  <si>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</si>
  <si>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</si>
  <si>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</si>
  <si>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</si>
  <si>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</si>
  <si>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</si>
  <si>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</si>
  <si>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</si>
  <si>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</si>
  <si>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</si>
  <si>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</si>
  <si>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</si>
  <si>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</si>
  <si>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</si>
  <si>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</si>
  <si>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</si>
  <si>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</si>
  <si>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</si>
  <si>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</si>
  <si>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</si>
  <si>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</si>
  <si>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</si>
  <si>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</si>
  <si>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</si>
  <si>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</si>
  <si>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</si>
  <si>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</si>
  <si>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</si>
  <si>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</si>
  <si>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</si>
  <si>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</si>
  <si>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</si>
  <si>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</si>
  <si>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</si>
  <si>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</si>
  <si>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</si>
  <si>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</si>
  <si>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</si>
  <si>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</si>
  <si>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</si>
  <si>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</si>
  <si>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</si>
  <si>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</si>
  <si>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</si>
  <si>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</si>
  <si>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</si>
  <si>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</si>
  <si>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</si>
  <si>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</si>
  <si>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</si>
  <si>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</si>
  <si>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</si>
  <si>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</si>
  <si>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</si>
  <si>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</si>
  <si>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</si>
  <si>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</si>
  <si>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</si>
  <si>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</si>
  <si>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</si>
  <si>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</si>
  <si>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</si>
  <si>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</si>
  <si>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</si>
  <si>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</si>
  <si>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</si>
  <si>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</si>
  <si>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</si>
  <si>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</si>
  <si>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</si>
  <si>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</si>
  <si>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</si>
  <si>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</si>
  <si>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</si>
  <si>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</si>
  <si>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</si>
  <si>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</si>
  <si>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</si>
  <si>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</si>
  <si>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</si>
  <si>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</si>
  <si>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</si>
  <si>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</si>
  <si>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</si>
  <si>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</si>
  <si>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</si>
  <si>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</si>
  <si>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</si>
  <si>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</si>
  <si>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</si>
  <si>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</si>
  <si>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</si>
  <si>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</si>
  <si>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</si>
  <si>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</si>
  <si>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</si>
  <si>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</si>
  <si>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</si>
  <si>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</si>
  <si>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</si>
  <si>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</si>
  <si>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</si>
  <si>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</si>
  <si>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</si>
  <si>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</si>
  <si>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</si>
  <si>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</si>
  <si>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</si>
  <si>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</si>
  <si>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</si>
  <si>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</si>
  <si>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</si>
  <si>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</si>
  <si>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</si>
  <si>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</si>
  <si>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</si>
  <si>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</si>
  <si>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</si>
  <si>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</si>
  <si>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</si>
  <si>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</si>
  <si>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</si>
  <si>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</si>
  <si>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</si>
  <si>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</si>
  <si>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</si>
  <si>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</si>
  <si>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</si>
  <si>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</si>
  <si>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</si>
  <si>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</si>
  <si>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</si>
  <si>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</si>
  <si>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</si>
  <si>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</si>
  <si>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</si>
  <si>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</si>
  <si>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</si>
  <si>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</si>
  <si>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</si>
  <si>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</si>
  <si>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</si>
  <si>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</si>
  <si>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</si>
  <si>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</si>
  <si>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</si>
  <si>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</si>
  <si>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</si>
  <si>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</si>
  <si>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</si>
  <si>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</si>
  <si>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</si>
  <si>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</si>
  <si>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</si>
  <si>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</si>
  <si>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</si>
  <si>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</si>
  <si>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</si>
  <si>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</si>
  <si>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</si>
  <si>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</si>
  <si>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</si>
  <si>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</si>
  <si>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</si>
  <si>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</si>
  <si>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</si>
  <si>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</si>
  <si>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</si>
  <si>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</si>
  <si>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</si>
  <si>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</si>
  <si>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</si>
  <si>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</si>
  <si>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</si>
  <si>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</si>
  <si>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</si>
  <si>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</si>
  <si>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</si>
  <si>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</si>
  <si>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</si>
  <si>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</si>
  <si>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</si>
  <si>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</si>
  <si>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</si>
  <si>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</si>
  <si>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</si>
  <si>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</si>
  <si>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</si>
  <si>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</si>
  <si>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</si>
  <si>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</si>
  <si>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</si>
  <si>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</si>
  <si>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</si>
  <si>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</si>
  <si>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</si>
  <si>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</si>
  <si>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</si>
  <si>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</si>
  <si>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</si>
  <si>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</si>
  <si>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</si>
  <si>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</si>
  <si>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</si>
  <si>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</si>
  <si>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</si>
  <si>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</si>
  <si>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</si>
  <si>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</si>
  <si>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</si>
  <si>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</si>
  <si>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</si>
  <si>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</si>
  <si>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</si>
  <si>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</si>
  <si>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</si>
  <si>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</si>
  <si>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</si>
  <si>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</si>
  <si>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</si>
  <si>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</si>
  <si>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</si>
  <si>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</si>
  <si>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</si>
  <si>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</si>
  <si>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</si>
  <si>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</si>
  <si>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</si>
  <si>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</si>
  <si>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</si>
  <si>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</si>
  <si>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</si>
  <si>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</si>
  <si>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</si>
  <si>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</si>
  <si>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</si>
  <si>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</si>
  <si>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</si>
  <si>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</si>
  <si>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</si>
  <si>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</si>
  <si>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</si>
  <si>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</si>
  <si>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</si>
  <si>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</si>
  <si>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</si>
  <si>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</si>
  <si>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</si>
  <si>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</si>
  <si>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</si>
  <si>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</si>
  <si>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</si>
  <si>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</si>
  <si>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</si>
  <si>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</si>
  <si>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</si>
  <si>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</si>
  <si>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</si>
  <si>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</si>
  <si>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</si>
  <si>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</si>
  <si>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</si>
  <si>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</si>
  <si>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</si>
  <si>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</si>
  <si>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</si>
  <si>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</si>
  <si>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</si>
  <si>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</si>
  <si>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</si>
  <si>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</si>
  <si>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</si>
  <si>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</si>
  <si>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</si>
  <si>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</si>
  <si>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</si>
  <si>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</si>
  <si>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</si>
  <si>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</si>
  <si>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</si>
  <si>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</si>
  <si>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</si>
  <si>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</si>
  <si>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</si>
  <si>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</si>
  <si>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</si>
  <si>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</si>
  <si>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</si>
  <si>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</si>
  <si>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</si>
  <si>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</si>
  <si>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</si>
  <si>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</si>
  <si>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</si>
  <si>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</si>
  <si>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</si>
  <si>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</si>
  <si>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</si>
  <si>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</si>
  <si>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</si>
  <si>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</si>
  <si>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</si>
  <si>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</si>
  <si>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</si>
  <si>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</si>
  <si>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</si>
  <si>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</si>
  <si>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</si>
  <si>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</si>
  <si>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</si>
  <si>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</si>
  <si>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</si>
  <si>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</si>
  <si>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</si>
  <si>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</si>
  <si>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</si>
  <si>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</si>
  <si>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</si>
  <si>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</si>
  <si>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</si>
  <si>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</si>
  <si>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</si>
  <si>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</si>
  <si>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</si>
  <si>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</si>
  <si>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</si>
  <si>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</si>
  <si>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</si>
  <si>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</si>
  <si>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</si>
  <si>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</si>
  <si>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</si>
  <si>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</si>
  <si>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</si>
  <si>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</si>
  <si>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</si>
  <si>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</si>
  <si>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</si>
  <si>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</si>
  <si>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</si>
  <si>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</si>
  <si>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</si>
  <si>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</si>
  <si>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</si>
  <si>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</si>
  <si>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</si>
  <si>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</si>
  <si>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</si>
  <si>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</si>
  <si>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</si>
  <si>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</si>
  <si>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</si>
  <si>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</si>
  <si>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</si>
  <si>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</si>
  <si>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</si>
  <si>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</si>
  <si>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</si>
  <si>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</si>
  <si>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</si>
  <si>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</si>
  <si>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</si>
  <si>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</si>
  <si>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</si>
  <si>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</si>
  <si>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</si>
  <si>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</si>
  <si>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</si>
  <si>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</si>
  <si>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</si>
  <si>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</si>
  <si>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</si>
  <si>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</si>
  <si>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</si>
  <si>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</si>
  <si>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</si>
  <si>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</si>
  <si>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</si>
  <si>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</si>
  <si>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</si>
  <si>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</si>
  <si>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</si>
  <si>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</si>
  <si>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</si>
  <si>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</si>
  <si>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</si>
  <si>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</si>
  <si>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</si>
  <si>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</si>
  <si>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</si>
  <si>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</si>
  <si>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</si>
  <si>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</si>
  <si>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</si>
  <si>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</si>
  <si>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</si>
  <si>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</si>
  <si>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</si>
  <si>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</si>
  <si>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</si>
  <si>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</si>
  <si>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</si>
  <si>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</si>
  <si>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</si>
  <si>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</si>
  <si>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</si>
  <si>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</si>
  <si>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</si>
  <si>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</si>
  <si>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</si>
  <si>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</si>
  <si>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</si>
  <si>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</si>
  <si>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</si>
  <si>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</si>
  <si>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</si>
  <si>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</si>
  <si>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</si>
  <si>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</si>
  <si>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</si>
  <si>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</si>
  <si>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</si>
  <si>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</si>
  <si>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</si>
  <si>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</si>
  <si>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</si>
  <si>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</si>
  <si>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</si>
  <si>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</si>
  <si>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</si>
  <si>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</si>
  <si>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</si>
  <si>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</si>
  <si>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</si>
  <si>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</si>
  <si>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</si>
  <si>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</si>
  <si>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</si>
  <si>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</si>
  <si>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</si>
  <si>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</si>
  <si>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</si>
  <si>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</si>
  <si>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</si>
  <si>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</si>
  <si>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</si>
  <si>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</si>
  <si>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</si>
  <si>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</si>
  <si>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</si>
  <si>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</si>
  <si>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</si>
  <si>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</si>
  <si>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</si>
  <si>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</si>
  <si>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</si>
  <si>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</si>
  <si>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</si>
  <si>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</si>
  <si>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</si>
  <si>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</si>
  <si>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</si>
  <si>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</si>
  <si>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</si>
  <si>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</si>
  <si>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</si>
  <si>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</si>
  <si>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</si>
  <si>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</si>
  <si>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</si>
  <si>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</si>
  <si>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</si>
  <si>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</si>
  <si>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</si>
  <si>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</si>
  <si>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</si>
  <si>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</si>
  <si>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</si>
  <si>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</si>
  <si>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</si>
  <si>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</si>
  <si>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</si>
  <si>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</si>
  <si>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</si>
  <si>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</si>
  <si>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</si>
  <si>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</si>
  <si>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</si>
  <si>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</si>
  <si>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</si>
  <si>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</si>
  <si>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</si>
  <si>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</si>
  <si>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</si>
  <si>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</si>
  <si>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</si>
  <si>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</si>
  <si>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</si>
  <si>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</si>
  <si>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</si>
  <si>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</si>
  <si>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</si>
  <si>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</si>
  <si>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</si>
  <si>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</si>
  <si>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</si>
  <si>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</si>
  <si>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</si>
  <si>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</si>
  <si>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</si>
  <si>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</si>
  <si>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</si>
  <si>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</si>
  <si>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</si>
  <si>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</si>
  <si>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</si>
  <si>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</si>
  <si>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</si>
  <si>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</si>
  <si>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</si>
  <si>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</si>
  <si>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</si>
  <si>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</si>
  <si>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</si>
  <si>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</si>
  <si>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</si>
  <si>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</si>
  <si>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</si>
  <si>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</si>
  <si>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</si>
  <si>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</si>
  <si>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</si>
  <si>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</si>
  <si>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</si>
  <si>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</si>
  <si>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</si>
  <si>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</si>
  <si>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</si>
  <si>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</si>
  <si>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</si>
  <si>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</si>
  <si>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</si>
  <si>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</si>
  <si>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</si>
  <si>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</si>
  <si>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</si>
  <si>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</si>
  <si>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</si>
  <si>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</si>
  <si>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</si>
  <si>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</si>
  <si>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</si>
  <si>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</si>
  <si>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</si>
  <si>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</si>
  <si>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</si>
  <si>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</si>
  <si>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</si>
  <si>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</si>
  <si>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</si>
  <si>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</si>
  <si>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</si>
  <si>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</si>
  <si>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</si>
  <si>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</si>
  <si>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</si>
  <si>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</si>
  <si>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</si>
  <si>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</si>
  <si>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</si>
  <si>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</si>
  <si>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</si>
  <si>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</si>
  <si>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</si>
  <si>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</si>
  <si>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</si>
  <si>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</si>
  <si>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</si>
  <si>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</si>
  <si>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</si>
  <si>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</si>
  <si>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</si>
  <si>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</si>
  <si>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</si>
  <si>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</si>
  <si>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</si>
  <si>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</si>
  <si>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</si>
  <si>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</si>
  <si>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</si>
  <si>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</si>
  <si>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</si>
  <si>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</si>
  <si>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</si>
  <si>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</si>
  <si>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</si>
  <si>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</si>
  <si>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</si>
  <si>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</si>
  <si>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</si>
  <si>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</si>
  <si>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</si>
  <si>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</si>
  <si>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</si>
  <si>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</si>
  <si>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</si>
  <si>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</si>
  <si>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</si>
  <si>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</si>
  <si>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</si>
  <si>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</si>
  <si>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</si>
  <si>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</si>
  <si>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</si>
  <si>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</si>
  <si>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</si>
  <si>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</si>
  <si>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</si>
  <si>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</si>
  <si>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</si>
  <si>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</si>
  <si>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</si>
  <si>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</si>
  <si>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</si>
  <si>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</si>
  <si>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</si>
  <si>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</si>
  <si>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</si>
  <si>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</si>
  <si>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</si>
  <si>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</si>
  <si>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</si>
  <si>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</si>
  <si>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</si>
  <si>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</si>
  <si>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</si>
  <si>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</si>
  <si>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</si>
  <si>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</si>
  <si>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</si>
  <si>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</si>
  <si>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</si>
  <si>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</si>
  <si>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</si>
  <si>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</si>
  <si>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</si>
  <si>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</si>
  <si>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</si>
  <si>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</si>
  <si>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</si>
  <si>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</si>
  <si>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</si>
  <si>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</si>
  <si>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</si>
  <si>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</si>
  <si>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</si>
  <si>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</si>
  <si>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</si>
  <si>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</si>
  <si>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</si>
  <si>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</si>
  <si>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</si>
  <si>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</si>
  <si>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</si>
  <si>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</si>
  <si>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</si>
  <si>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</si>
  <si>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</si>
  <si>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</si>
  <si>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</si>
  <si>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</si>
  <si>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</si>
  <si>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</si>
  <si>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</si>
  <si>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</si>
  <si>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</si>
  <si>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</si>
  <si>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</si>
  <si>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</si>
  <si>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</si>
  <si>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</si>
  <si>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</si>
  <si>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</si>
  <si>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</si>
  <si>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</si>
  <si>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</si>
  <si>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</si>
  <si>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</si>
  <si>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</si>
  <si>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</si>
  <si>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</si>
  <si>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</si>
  <si>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</si>
  <si>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</si>
  <si>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</si>
  <si>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</si>
  <si>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</si>
  <si>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</si>
  <si>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</si>
  <si>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</si>
  <si>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</si>
  <si>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</si>
  <si>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</si>
  <si>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</si>
  <si>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</si>
  <si>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</si>
  <si>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</si>
  <si>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</si>
  <si>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</si>
  <si>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</si>
  <si>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</si>
  <si>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</si>
  <si>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</si>
  <si>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</si>
  <si>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</si>
  <si>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</si>
  <si>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</si>
  <si>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</si>
  <si>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</si>
  <si>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</si>
  <si>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</si>
  <si>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</si>
  <si>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</si>
  <si>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</si>
  <si>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</si>
  <si>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</si>
  <si>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</si>
  <si>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</si>
  <si>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</si>
  <si>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</si>
  <si>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</si>
  <si>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</si>
  <si>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</si>
  <si>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</si>
  <si>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</si>
  <si>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</si>
  <si>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</si>
  <si>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</si>
  <si>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</si>
  <si>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</si>
  <si>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</si>
  <si>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</si>
  <si>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</si>
  <si>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</si>
  <si>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</si>
  <si>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</si>
  <si>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</si>
  <si>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</si>
  <si>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</si>
  <si>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</si>
  <si>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</si>
  <si>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</si>
  <si>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</si>
  <si>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</si>
  <si>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</si>
  <si>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</si>
  <si>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</si>
  <si>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</si>
  <si>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</si>
  <si>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</si>
  <si>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</si>
  <si>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</si>
  <si>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</si>
  <si>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</si>
  <si>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</si>
  <si>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</si>
  <si>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</si>
  <si>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</si>
  <si>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</si>
  <si>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</si>
  <si>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</si>
  <si>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</si>
  <si>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</si>
  <si>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</si>
  <si>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</si>
  <si>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</si>
  <si>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</si>
  <si>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</si>
  <si>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</si>
  <si>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</si>
  <si>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</si>
  <si>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</si>
  <si>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</si>
  <si>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</si>
  <si>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</si>
  <si>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</si>
  <si>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</si>
  <si>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</si>
  <si>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</si>
  <si>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</si>
  <si>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</si>
  <si>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</si>
  <si>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</si>
  <si>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</si>
  <si>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</si>
  <si>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</si>
  <si>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</si>
  <si>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</si>
  <si>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</si>
  <si>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</si>
  <si>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</si>
  <si>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</si>
  <si>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</si>
  <si>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</si>
  <si>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</si>
  <si>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</si>
  <si>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</si>
  <si>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</si>
  <si>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</si>
  <si>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</si>
  <si>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</si>
  <si>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</si>
  <si>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</si>
  <si>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</si>
  <si>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</si>
  <si>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</si>
  <si>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</si>
  <si>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</si>
  <si>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</si>
  <si>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</si>
  <si>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</si>
  <si>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</si>
  <si>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</si>
  <si>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</si>
  <si>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</si>
  <si>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</si>
  <si>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</si>
  <si>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</si>
  <si>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</si>
  <si>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</si>
  <si>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</si>
  <si>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</si>
  <si>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</si>
  <si>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</si>
  <si>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</si>
  <si>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</si>
  <si>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</si>
  <si>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</si>
  <si>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</si>
  <si>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</si>
  <si>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</si>
  <si>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</si>
  <si>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</si>
  <si>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</si>
  <si>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</si>
  <si>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</si>
  <si>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</si>
  <si>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</si>
  <si>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</si>
  <si>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</si>
  <si>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</si>
  <si>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</si>
  <si>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</si>
  <si>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</si>
  <si>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</si>
  <si>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</si>
  <si>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</si>
  <si>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</si>
  <si>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</si>
  <si>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</si>
  <si>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</si>
  <si>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</si>
  <si>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</si>
  <si>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</si>
  <si>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</si>
  <si>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</si>
  <si>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</si>
  <si>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</si>
  <si>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</si>
  <si>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</si>
  <si>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</si>
  <si>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</si>
  <si>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</si>
  <si>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</si>
  <si>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</si>
  <si>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</si>
  <si>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</si>
  <si>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</si>
  <si>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</si>
  <si>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</si>
  <si>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</si>
  <si>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</si>
  <si>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</si>
  <si>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</si>
  <si>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</si>
  <si>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</si>
  <si>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</si>
  <si>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</si>
  <si>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</si>
  <si>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</si>
  <si>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</si>
  <si>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</si>
  <si>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</si>
  <si>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</si>
  <si>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</si>
  <si>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</si>
  <si>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</si>
  <si>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</si>
  <si>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</si>
  <si>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</si>
  <si>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</si>
  <si>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</si>
  <si>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</si>
  <si>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</si>
  <si>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</si>
  <si>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</si>
  <si>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</si>
  <si>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</si>
  <si>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</si>
  <si>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</si>
  <si>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</si>
  <si>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</si>
  <si>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</si>
  <si>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</si>
  <si>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</si>
  <si>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</si>
  <si>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</si>
  <si>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</si>
  <si>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</si>
  <si>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</si>
  <si>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</si>
  <si>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</si>
  <si>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</si>
  <si>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</si>
  <si>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</si>
  <si>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</si>
  <si>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</si>
  <si>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</si>
  <si>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</si>
  <si>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</si>
  <si>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</si>
  <si>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</si>
  <si>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</si>
  <si>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</si>
  <si>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</si>
  <si>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</si>
  <si>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</si>
  <si>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</si>
  <si>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</si>
  <si>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</si>
  <si>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</si>
  <si>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</si>
  <si>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</si>
  <si>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</si>
  <si>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</si>
  <si>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</si>
  <si>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</si>
  <si>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</si>
  <si>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</si>
  <si>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</si>
  <si>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</si>
  <si>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</si>
  <si>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</si>
  <si>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</si>
  <si>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</si>
  <si>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</si>
  <si>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</si>
  <si>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</si>
  <si>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</si>
  <si>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</si>
  <si>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</si>
  <si>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</si>
  <si>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</si>
  <si>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</si>
  <si>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</si>
  <si>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</si>
  <si>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</si>
  <si>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</si>
  <si>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</si>
  <si>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</si>
  <si>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</si>
  <si>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</si>
  <si>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</si>
  <si>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</si>
  <si>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</si>
  <si>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</si>
  <si>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</si>
  <si>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</si>
  <si>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</si>
  <si>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</si>
  <si>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</si>
  <si>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</si>
  <si>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</si>
  <si>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</si>
  <si>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</si>
  <si>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</si>
  <si>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</si>
  <si>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</si>
  <si>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</si>
  <si>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</si>
  <si>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</si>
  <si>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</si>
  <si>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</si>
  <si>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</si>
  <si>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</si>
  <si>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</si>
  <si>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</si>
  <si>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</si>
  <si>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</si>
  <si>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</si>
  <si>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</si>
  <si>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</si>
  <si>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</si>
  <si>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</si>
  <si>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</si>
  <si>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</si>
  <si>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</si>
  <si>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</si>
  <si>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</si>
  <si>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</si>
  <si>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</si>
  <si>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</si>
  <si>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</si>
  <si>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</si>
  <si>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</si>
  <si>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</si>
  <si>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</si>
  <si>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</si>
  <si>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</si>
  <si>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</si>
  <si>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</si>
  <si>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</si>
  <si>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</si>
  <si>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</si>
  <si>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</si>
  <si>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</si>
  <si>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</si>
  <si>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</si>
  <si>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</si>
  <si>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</si>
  <si>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</si>
  <si>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</si>
  <si>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</si>
  <si>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</si>
  <si>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</si>
  <si>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</si>
  <si>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</si>
  <si>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</si>
  <si>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</si>
  <si>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</si>
  <si>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</si>
  <si>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</si>
  <si>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</si>
  <si>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</si>
  <si>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</si>
  <si>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</si>
  <si>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</si>
  <si>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</si>
  <si>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</si>
  <si>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</si>
  <si>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</si>
  <si>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</si>
  <si>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</si>
  <si>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</si>
  <si>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</si>
  <si>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</si>
  <si>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</si>
  <si>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</si>
  <si>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</si>
  <si>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</si>
  <si>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</si>
  <si>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</si>
  <si>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</si>
  <si>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</si>
  <si>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</si>
  <si>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</si>
  <si>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</si>
  <si>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</si>
  <si>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</si>
  <si>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</si>
  <si>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</si>
  <si>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</si>
  <si>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</si>
  <si>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</si>
  <si>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</si>
  <si>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</si>
  <si>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</si>
  <si>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</si>
  <si>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</si>
  <si>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</si>
  <si>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</si>
  <si>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</si>
  <si>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</si>
  <si>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</si>
  <si>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</si>
  <si>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</si>
  <si>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</si>
  <si>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</si>
  <si>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</si>
  <si>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</si>
  <si>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</si>
  <si>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</si>
  <si>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</si>
  <si>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</si>
  <si>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</si>
  <si>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</si>
  <si>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</si>
  <si>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</si>
  <si>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</si>
  <si>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</si>
  <si>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</si>
  <si>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</si>
  <si>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</si>
  <si>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</si>
  <si>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</si>
  <si>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</si>
  <si>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</si>
  <si>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</si>
  <si>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</si>
  <si>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</si>
  <si>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</si>
  <si>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</si>
  <si>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</si>
  <si>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</si>
  <si>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</si>
  <si>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</si>
  <si>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</si>
  <si>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</si>
  <si>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</si>
  <si>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</si>
  <si>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</si>
  <si>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</si>
  <si>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</si>
  <si>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</si>
  <si>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</si>
  <si>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</si>
  <si>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</si>
  <si>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</si>
  <si>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</si>
  <si>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</si>
  <si>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</si>
  <si>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</si>
  <si>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</si>
  <si>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</si>
  <si>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</si>
  <si>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</si>
  <si>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</si>
  <si>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</si>
  <si>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</si>
  <si>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</si>
  <si>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</si>
  <si>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</si>
  <si>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</si>
  <si>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</si>
  <si>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</si>
  <si>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</si>
  <si>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</si>
  <si>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</si>
  <si>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</si>
  <si>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</si>
  <si>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</si>
  <si>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</si>
  <si>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</si>
  <si>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</si>
  <si>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</si>
  <si>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</si>
  <si>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</si>
  <si>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</si>
  <si>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</si>
  <si>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</si>
  <si>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</si>
  <si>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</si>
  <si>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</si>
  <si>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</si>
  <si>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</si>
  <si>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</si>
  <si>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</si>
  <si>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</si>
  <si>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</si>
  <si>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</si>
  <si>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</si>
  <si>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</si>
  <si>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</si>
  <si>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</si>
  <si>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</si>
  <si>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</si>
  <si>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</si>
  <si>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</si>
  <si>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</si>
  <si>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</si>
  <si>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</si>
  <si>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</si>
  <si>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</si>
  <si>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</si>
  <si>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</si>
  <si>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</si>
  <si>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</si>
  <si>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</si>
  <si>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</si>
  <si>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</si>
  <si>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</si>
  <si>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</si>
  <si>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</si>
  <si>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</si>
  <si>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</si>
  <si>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</si>
  <si>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</si>
  <si>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</si>
  <si>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</si>
  <si>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</si>
  <si>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</si>
  <si>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</si>
  <si>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</si>
  <si>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</si>
  <si>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</si>
  <si>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</si>
  <si>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</si>
  <si>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</si>
  <si>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</si>
  <si>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</si>
  <si>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</si>
  <si>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</si>
  <si>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</si>
  <si>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</si>
  <si>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</si>
  <si>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</si>
  <si>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</si>
  <si>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</si>
  <si>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</si>
  <si>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</si>
  <si>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</si>
  <si>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</si>
  <si>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</si>
  <si>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</si>
  <si>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</si>
  <si>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</si>
  <si>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</si>
  <si>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</si>
  <si>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</si>
  <si>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</si>
  <si>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</si>
  <si>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</si>
  <si>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</si>
  <si>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</si>
  <si>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</si>
  <si>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</si>
  <si>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</si>
  <si>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</si>
  <si>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</si>
  <si>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</si>
  <si>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</si>
  <si>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</si>
  <si>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</si>
  <si>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</si>
  <si>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</si>
  <si>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</si>
  <si>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</si>
  <si>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</si>
  <si>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</si>
  <si>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</si>
  <si>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</si>
  <si>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</si>
  <si>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</si>
  <si>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</si>
  <si>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</si>
  <si>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</si>
  <si>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</si>
  <si>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</si>
  <si>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</si>
  <si>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</si>
  <si>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</si>
  <si>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</si>
  <si>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</si>
  <si>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</si>
  <si>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</si>
  <si>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</si>
  <si>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</si>
  <si>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</si>
  <si>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</si>
  <si>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</si>
  <si>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</si>
  <si>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</si>
  <si>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</si>
  <si>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</si>
  <si>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</si>
  <si>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</si>
  <si>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</si>
  <si>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</si>
  <si>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</si>
  <si>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</si>
  <si>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</si>
  <si>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</si>
  <si>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</si>
  <si>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</si>
  <si>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</si>
  <si>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</si>
  <si>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</si>
  <si>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</si>
  <si>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</si>
  <si>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</si>
  <si>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</si>
  <si>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</si>
  <si>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</si>
  <si>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</si>
  <si>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</si>
  <si>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</si>
  <si>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</si>
  <si>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</si>
  <si>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</si>
  <si>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</si>
  <si>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</si>
  <si>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</si>
  <si>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</si>
  <si>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</si>
  <si>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</si>
  <si>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</si>
  <si>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</si>
  <si>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</si>
  <si>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</si>
  <si>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</si>
  <si>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</si>
  <si>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</si>
  <si>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</si>
  <si>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</si>
  <si>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</si>
  <si>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</si>
  <si>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</si>
  <si>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</si>
  <si>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</si>
  <si>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</si>
  <si>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</si>
  <si>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</si>
  <si>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</si>
  <si>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</si>
  <si>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</si>
  <si>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</si>
  <si>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</si>
  <si>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</si>
  <si>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</si>
  <si>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</si>
  <si>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</si>
  <si>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</si>
  <si>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</si>
  <si>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</si>
  <si>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</si>
  <si>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</si>
  <si>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</si>
  <si>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</si>
  <si>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</si>
  <si>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</si>
  <si>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</si>
  <si>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</si>
  <si>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</si>
  <si>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</si>
  <si>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</si>
  <si>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</si>
  <si>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</si>
  <si>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</si>
  <si>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</si>
  <si>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</si>
  <si>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</si>
  <si>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</si>
  <si>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</si>
  <si>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</si>
  <si>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</si>
  <si>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</si>
  <si>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</si>
  <si>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</si>
  <si>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</si>
  <si>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</si>
  <si>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</si>
  <si>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</si>
  <si>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</si>
  <si>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</si>
  <si>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</si>
  <si>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</si>
  <si>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</si>
  <si>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</si>
  <si>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</si>
  <si>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</si>
  <si>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</si>
  <si>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</si>
  <si>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</si>
  <si>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</si>
  <si>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</si>
  <si>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</si>
  <si>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</si>
  <si>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</si>
  <si>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</si>
  <si>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</si>
  <si>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</si>
  <si>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</si>
  <si>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</si>
  <si>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</si>
  <si>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</si>
  <si>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</si>
  <si>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</si>
  <si>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</si>
  <si>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</si>
  <si>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</si>
  <si>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</si>
  <si>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</si>
  <si>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</si>
  <si>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</si>
  <si>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</si>
  <si>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</si>
  <si>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</si>
  <si>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</si>
  <si>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</si>
  <si>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</si>
  <si>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</si>
  <si>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</si>
  <si>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</si>
  <si>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</si>
  <si>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</si>
  <si>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</si>
  <si>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</si>
  <si>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</si>
  <si>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</si>
  <si>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</si>
  <si>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</si>
  <si>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</si>
  <si>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</si>
  <si>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</si>
  <si>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</si>
  <si>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</si>
  <si>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</si>
  <si>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</si>
  <si>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</si>
  <si>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</si>
  <si>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</si>
  <si>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</si>
  <si>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</si>
  <si>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</si>
  <si>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</si>
  <si>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</si>
  <si>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</si>
  <si>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</si>
  <si>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</si>
  <si>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</si>
  <si>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</si>
  <si>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</si>
  <si>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</si>
  <si>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</si>
  <si>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</si>
  <si>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</si>
  <si>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</si>
  <si>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</si>
  <si>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</si>
  <si>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</si>
  <si>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</si>
  <si>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</si>
  <si>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</si>
  <si>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</si>
  <si>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</si>
  <si>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</si>
  <si>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</si>
  <si>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</si>
  <si>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</si>
  <si>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</si>
  <si>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</si>
  <si>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</si>
  <si>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</si>
  <si>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</si>
  <si>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</si>
  <si>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</si>
  <si>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</si>
  <si>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</si>
  <si>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</si>
  <si>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</si>
  <si>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</si>
  <si>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</si>
  <si>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</si>
  <si>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</si>
  <si>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</si>
  <si>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</si>
  <si>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</si>
  <si>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</si>
  <si>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</si>
  <si>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</si>
  <si>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</si>
  <si>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</si>
  <si>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</si>
  <si>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</si>
  <si>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</si>
  <si>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</si>
  <si>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</si>
  <si>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</si>
  <si>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</si>
  <si>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</si>
  <si>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</si>
  <si>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</si>
  <si>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</si>
  <si>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</si>
  <si>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</si>
  <si>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</si>
  <si>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</si>
  <si>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</si>
  <si>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</si>
  <si>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</si>
  <si>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</si>
  <si>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</si>
  <si>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</si>
  <si>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</si>
  <si>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</si>
  <si>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</si>
  <si>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</si>
  <si>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</si>
  <si>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</si>
  <si>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</si>
  <si>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</si>
  <si>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</si>
  <si>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</si>
  <si>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</si>
  <si>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</si>
  <si>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</si>
  <si>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</si>
  <si>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</si>
  <si>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</si>
  <si>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</si>
  <si>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</si>
  <si>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</si>
  <si>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</si>
  <si>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</si>
  <si>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</si>
  <si>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</si>
  <si>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</si>
  <si>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</si>
  <si>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</si>
  <si>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</si>
  <si>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</si>
  <si>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</si>
  <si>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</si>
  <si>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</si>
  <si>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</si>
  <si>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</si>
  <si>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</si>
  <si>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</si>
  <si>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</si>
  <si>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</si>
  <si>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</si>
  <si>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</si>
  <si>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</si>
  <si>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</si>
  <si>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</si>
  <si>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</si>
  <si>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</si>
  <si>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</si>
  <si>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</si>
  <si>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</si>
  <si>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</si>
  <si>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</si>
  <si>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</si>
  <si>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</si>
  <si>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</si>
  <si>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</si>
  <si>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</si>
  <si>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</si>
  <si>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</si>
  <si>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</si>
  <si>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</si>
  <si>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</si>
  <si>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</si>
  <si>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</si>
  <si>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</si>
  <si>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</si>
  <si>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</si>
  <si>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</si>
  <si>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</si>
  <si>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</si>
  <si>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</si>
  <si>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</si>
  <si>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</si>
  <si>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</si>
  <si>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</si>
  <si>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</si>
  <si>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</si>
  <si>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</si>
  <si>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</si>
  <si>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</si>
  <si>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</si>
  <si>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</si>
  <si>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</si>
  <si>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</si>
  <si>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</si>
  <si>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</si>
  <si>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</si>
  <si>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</si>
  <si>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</si>
  <si>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</si>
  <si>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</si>
  <si>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</si>
  <si>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</si>
  <si>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</si>
  <si>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</si>
  <si>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</si>
  <si>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</si>
  <si>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</si>
  <si>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</si>
  <si>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</si>
  <si>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</si>
  <si>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</si>
  <si>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</si>
  <si>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</si>
  <si>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</si>
  <si>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</si>
  <si>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</si>
  <si>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</si>
  <si>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</si>
  <si>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</si>
  <si>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</si>
  <si>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</si>
  <si>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</si>
  <si>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</si>
  <si>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</si>
  <si>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</si>
  <si>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</si>
  <si>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</si>
  <si>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</si>
  <si>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</si>
  <si>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</si>
  <si>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</si>
  <si>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</si>
  <si>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</si>
  <si>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</si>
  <si>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</si>
  <si>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</si>
  <si>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</si>
  <si>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</si>
  <si>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</si>
  <si>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</si>
  <si>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</si>
  <si>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</si>
  <si>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</si>
  <si>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</si>
  <si>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</si>
  <si>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</si>
  <si>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</si>
  <si>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</si>
  <si>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</si>
  <si>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</si>
  <si>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</si>
  <si>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</si>
  <si>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</si>
  <si>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</si>
  <si>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</si>
  <si>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</si>
  <si>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</si>
  <si>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</si>
  <si>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</si>
  <si>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</si>
  <si>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</si>
  <si>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</si>
  <si>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</si>
  <si>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</si>
  <si>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</si>
  <si>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</si>
  <si>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</si>
  <si>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</si>
  <si>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</si>
  <si>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</si>
  <si>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</si>
  <si>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</si>
  <si>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</si>
  <si>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</si>
  <si>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</si>
  <si>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</si>
  <si>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</si>
  <si>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</si>
  <si>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</si>
  <si>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</si>
  <si>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</si>
  <si>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</si>
  <si>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</si>
  <si>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</si>
  <si>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</si>
  <si>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</si>
  <si>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</si>
  <si>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</si>
  <si>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</si>
  <si>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</si>
  <si>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</si>
  <si>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</si>
  <si>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</si>
  <si>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</si>
  <si>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</si>
  <si>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</si>
  <si>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</si>
  <si>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</si>
  <si>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</si>
  <si>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</si>
  <si>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</si>
  <si>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</si>
  <si>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</si>
  <si>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</si>
  <si>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</si>
  <si>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</si>
  <si>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</si>
  <si>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</si>
  <si>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</si>
  <si>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</si>
  <si>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</si>
  <si>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</si>
  <si>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</si>
  <si>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</si>
  <si>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</si>
  <si>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</si>
  <si>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</si>
  <si>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</si>
  <si>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</si>
  <si>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</si>
  <si>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</si>
  <si>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</si>
  <si>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</si>
  <si>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</si>
  <si>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</si>
  <si>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</si>
  <si>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</si>
  <si>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</si>
  <si>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</si>
  <si>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</si>
  <si>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</si>
  <si>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</si>
  <si>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</si>
  <si>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</si>
  <si>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</si>
  <si>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</si>
  <si>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</si>
  <si>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</si>
  <si>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</si>
  <si>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</si>
  <si>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</si>
  <si>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</si>
  <si>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</si>
  <si>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</si>
  <si>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</si>
  <si>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</si>
  <si>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</si>
  <si>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</si>
  <si>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</si>
  <si>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</si>
  <si>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</si>
  <si>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</si>
  <si>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</si>
  <si>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</si>
  <si>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</si>
  <si>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</si>
  <si>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</si>
  <si>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</si>
  <si>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</si>
  <si>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</si>
  <si>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</si>
  <si>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</si>
  <si>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</si>
  <si>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</si>
  <si>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</si>
  <si>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</si>
  <si>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</si>
  <si>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</si>
  <si>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</si>
  <si>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</si>
  <si>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</si>
  <si>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</si>
  <si>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</si>
  <si>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</si>
  <si>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</si>
  <si>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</si>
  <si>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</si>
  <si>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</si>
  <si>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</si>
  <si>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</si>
  <si>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</si>
  <si>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</si>
  <si>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</si>
  <si>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</si>
  <si>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</si>
  <si>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</si>
  <si>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</si>
  <si>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</si>
  <si>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</si>
  <si>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</si>
  <si>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</si>
  <si>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</si>
  <si>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</si>
  <si>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</si>
  <si>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</si>
  <si>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</si>
  <si>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</si>
  <si>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</si>
  <si>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</si>
  <si>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</si>
  <si>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</si>
  <si>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</si>
  <si>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</si>
  <si>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</si>
  <si>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</si>
  <si>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</si>
  <si>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</si>
  <si>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</si>
  <si>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</si>
  <si>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</si>
  <si>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</si>
  <si>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</si>
  <si>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</si>
  <si>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</si>
  <si>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</si>
  <si>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</si>
  <si>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</si>
  <si>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</si>
  <si>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</si>
  <si>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</si>
  <si>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</si>
  <si>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</si>
  <si>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</si>
  <si>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</si>
  <si>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</si>
  <si>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</si>
  <si>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</si>
  <si>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</si>
  <si>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</si>
  <si>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</si>
  <si>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</si>
  <si>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</si>
  <si>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</si>
  <si>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</si>
  <si>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</si>
  <si>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</si>
  <si>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</si>
  <si>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</si>
  <si>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</si>
  <si>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</si>
  <si>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</si>
  <si>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</si>
  <si>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</si>
  <si>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</si>
  <si>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</si>
  <si>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</si>
  <si>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</si>
  <si>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</si>
  <si>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</si>
  <si>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</si>
  <si>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</si>
  <si>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</si>
  <si>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</si>
  <si>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</si>
  <si>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</si>
  <si>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</si>
  <si>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</si>
  <si>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</si>
  <si>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</si>
  <si>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</si>
  <si>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</si>
  <si>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</si>
  <si>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</si>
  <si>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</si>
  <si>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</si>
  <si>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</si>
  <si>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</si>
  <si>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</si>
  <si>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</si>
  <si>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</si>
  <si>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</si>
  <si>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</si>
  <si>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</si>
  <si>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</si>
  <si>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</si>
  <si>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</si>
  <si>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</si>
  <si>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</si>
  <si>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</si>
  <si>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</si>
  <si>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</si>
  <si>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</si>
  <si>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</si>
  <si>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</si>
  <si>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</si>
  <si>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</si>
  <si>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</si>
  <si>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</si>
  <si>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</si>
  <si>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</si>
  <si>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</si>
  <si>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</si>
  <si>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</si>
  <si>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</si>
  <si>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</si>
  <si>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</si>
  <si>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</si>
  <si>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</si>
  <si>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</si>
  <si>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</si>
  <si>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</si>
  <si>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</si>
  <si>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</si>
  <si>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</si>
  <si>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</si>
  <si>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</si>
  <si>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</si>
  <si>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</si>
  <si>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</si>
  <si>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</si>
  <si>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</si>
  <si>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</si>
  <si>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</si>
  <si>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</si>
  <si>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</si>
  <si>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</si>
  <si>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</si>
  <si>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</si>
  <si>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</si>
  <si>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</si>
  <si>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</si>
  <si>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</si>
  <si>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</si>
  <si>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</si>
  <si>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</si>
  <si>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</si>
  <si>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</si>
  <si>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</si>
  <si>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</si>
  <si>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</si>
  <si>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</si>
  <si>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</si>
  <si>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</si>
  <si>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</si>
  <si>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</si>
  <si>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</si>
  <si>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</si>
  <si>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</si>
  <si>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</si>
  <si>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</si>
  <si>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</si>
  <si>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</si>
  <si>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</si>
  <si>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</si>
  <si>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</si>
  <si>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</si>
  <si>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</si>
  <si>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</si>
  <si>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</si>
  <si>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</si>
  <si>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</si>
  <si>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</si>
  <si>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</si>
  <si>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</si>
  <si>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</si>
  <si>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</si>
  <si>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</si>
  <si>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</si>
  <si>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</si>
  <si>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</si>
  <si>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</si>
  <si>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</si>
  <si>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</si>
  <si>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</si>
  <si>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</si>
  <si>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</si>
  <si>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</si>
  <si>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</si>
  <si>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</si>
  <si>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</si>
  <si>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</si>
  <si>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</si>
  <si>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</si>
  <si>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</si>
  <si>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</si>
  <si>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</si>
  <si>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</si>
  <si>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</si>
  <si>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</si>
  <si>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</si>
  <si>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</si>
  <si>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</si>
  <si>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</si>
  <si>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</si>
  <si>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</si>
  <si>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</si>
  <si>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</si>
  <si>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</si>
  <si>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</si>
  <si>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</si>
  <si>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</si>
  <si>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</si>
  <si>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</si>
  <si>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</si>
  <si>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</si>
  <si>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</si>
  <si>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</si>
  <si>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</si>
  <si>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</si>
  <si>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</si>
  <si>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</si>
  <si>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</si>
  <si>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</si>
  <si>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</si>
  <si>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</si>
  <si>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</si>
  <si>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</si>
  <si>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</si>
  <si>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</si>
  <si>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</si>
  <si>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</si>
  <si>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</si>
  <si>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</si>
  <si>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</si>
  <si>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</si>
  <si>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</si>
  <si>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</si>
  <si>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</si>
  <si>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</si>
  <si>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</si>
  <si>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</si>
  <si>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</si>
  <si>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</si>
  <si>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</si>
  <si>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</si>
  <si>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</si>
  <si>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</si>
  <si>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</si>
  <si>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</si>
  <si>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</si>
  <si>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</si>
  <si>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</si>
  <si>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</si>
  <si>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</si>
  <si>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</si>
  <si>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</si>
  <si>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</si>
  <si>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</si>
  <si>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</si>
  <si>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</si>
  <si>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</si>
  <si>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</si>
  <si>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</si>
  <si>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</si>
  <si>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</si>
  <si>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</si>
  <si>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</si>
  <si>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</si>
  <si>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</si>
  <si>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</si>
  <si>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</si>
  <si>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</si>
  <si>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</si>
  <si>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</si>
  <si>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</si>
  <si>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</si>
  <si>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</si>
  <si>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</si>
  <si>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</si>
  <si>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</si>
  <si>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</si>
  <si>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</si>
  <si>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</si>
  <si>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</si>
  <si>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</si>
  <si>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</si>
  <si>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</si>
  <si>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</si>
  <si>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</si>
  <si>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</si>
  <si>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</si>
  <si>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</si>
  <si>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</si>
  <si>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</si>
  <si>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</si>
  <si>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</si>
  <si>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</si>
  <si>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</si>
  <si>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</si>
  <si>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</si>
  <si>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</si>
  <si>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</si>
  <si>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</si>
  <si>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</si>
  <si>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</si>
  <si>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</si>
  <si>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</si>
  <si>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</si>
  <si>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</si>
  <si>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</si>
  <si>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</si>
  <si>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</si>
  <si>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</si>
  <si>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</si>
  <si>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</si>
  <si>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</si>
  <si>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</si>
  <si>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</si>
  <si>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</si>
  <si>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</si>
  <si>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</si>
  <si>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</si>
  <si>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</si>
  <si>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</si>
  <si>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</si>
  <si>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</si>
  <si>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</si>
  <si>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</si>
  <si>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</si>
  <si>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</si>
  <si>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</si>
  <si>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</si>
  <si>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</si>
  <si>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</si>
  <si>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</si>
  <si>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</si>
  <si>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</si>
  <si>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</si>
  <si>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</si>
  <si>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</si>
  <si>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</si>
  <si>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</si>
  <si>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</si>
  <si>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</si>
  <si>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</si>
  <si>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</si>
  <si>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</si>
  <si>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</si>
  <si>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</si>
  <si>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</si>
  <si>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</si>
  <si>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</si>
  <si>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</si>
  <si>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</si>
  <si>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</si>
  <si>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</si>
  <si>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</si>
  <si>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</si>
  <si>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</si>
  <si>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</si>
  <si>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</si>
  <si>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</si>
  <si>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</si>
  <si>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</si>
  <si>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</si>
  <si>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</si>
  <si>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</si>
  <si>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</si>
  <si>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</si>
  <si>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</si>
  <si>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</si>
  <si>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</si>
  <si>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</si>
  <si>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</si>
  <si>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</si>
  <si>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</si>
  <si>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</si>
  <si>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</si>
  <si>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</si>
  <si>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</si>
  <si>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</si>
  <si>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</si>
  <si>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</si>
  <si>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</si>
  <si>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</si>
  <si>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</si>
  <si>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</si>
  <si>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</si>
  <si>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</si>
  <si>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</si>
  <si>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</si>
  <si>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</si>
  <si>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</si>
  <si>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</si>
  <si>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</si>
  <si>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</si>
  <si>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</si>
  <si>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</si>
  <si>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</si>
  <si>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</si>
  <si>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</si>
  <si>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</si>
  <si>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</si>
  <si>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</si>
  <si>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</si>
  <si>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</si>
  <si>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</si>
  <si>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</si>
  <si>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</si>
  <si>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</si>
  <si>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</si>
  <si>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</si>
  <si>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</si>
  <si>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</si>
  <si>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</si>
  <si>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</si>
  <si>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</si>
  <si>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</si>
  <si>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</si>
  <si>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</si>
  <si>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</si>
  <si>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</si>
  <si>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</si>
  <si>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</si>
  <si>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</si>
  <si>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</si>
  <si>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</si>
  <si>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</si>
  <si>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</si>
  <si>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</si>
  <si>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</si>
  <si>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</si>
  <si>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</si>
  <si>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</si>
  <si>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</si>
  <si>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</si>
  <si>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</si>
  <si>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</si>
  <si>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</si>
  <si>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</si>
  <si>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</si>
  <si>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</si>
  <si>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</si>
  <si>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</si>
  <si>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</si>
  <si>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</si>
  <si>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</si>
  <si>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</si>
  <si>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</si>
  <si>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</si>
  <si>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</si>
  <si>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</si>
  <si>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</si>
  <si>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</si>
  <si>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</si>
  <si>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</si>
  <si>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</si>
  <si>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</si>
  <si>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</si>
  <si>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</si>
  <si>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</si>
  <si>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</si>
  <si>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</si>
  <si>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</si>
  <si>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</si>
  <si>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</si>
  <si>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</si>
  <si>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</si>
  <si>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</si>
  <si>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</si>
  <si>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</si>
  <si>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</si>
  <si>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</si>
  <si>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</si>
  <si>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</si>
  <si>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</si>
  <si>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</si>
  <si>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</si>
  <si>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</si>
  <si>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</si>
  <si>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</si>
  <si>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</si>
  <si>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</si>
  <si>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</si>
  <si>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</si>
  <si>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</si>
  <si>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</si>
  <si>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</si>
  <si>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</si>
  <si>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</si>
  <si>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</si>
  <si>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</si>
  <si>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</si>
  <si>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</si>
  <si>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</si>
  <si>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</si>
  <si>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</si>
  <si>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</si>
  <si>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</si>
  <si>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</si>
  <si>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</si>
  <si>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</si>
  <si>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</si>
  <si>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</si>
  <si>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</si>
  <si>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</si>
  <si>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</si>
  <si>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</si>
  <si>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</si>
  <si>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</si>
  <si>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</si>
  <si>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</si>
  <si>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</si>
  <si>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</si>
  <si>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</si>
  <si>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</si>
  <si>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</si>
  <si>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</si>
  <si>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</si>
  <si>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</si>
  <si>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</si>
  <si>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</si>
  <si>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</si>
  <si>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</si>
  <si>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</si>
  <si>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</si>
  <si>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</si>
  <si>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</si>
  <si>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</si>
  <si>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</si>
  <si>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</si>
  <si>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</si>
  <si>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</si>
  <si>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</si>
  <si>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</si>
  <si>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</si>
  <si>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</si>
  <si>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</si>
  <si>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</si>
  <si>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</si>
  <si>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</si>
  <si>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</si>
  <si>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</si>
  <si>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</si>
  <si>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</si>
  <si>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</si>
  <si>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</si>
  <si>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</si>
  <si>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</si>
  <si>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</si>
  <si>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</si>
  <si>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</si>
  <si>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</si>
  <si>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</si>
  <si>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</si>
  <si>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</si>
  <si>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</si>
  <si>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</si>
  <si>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</si>
  <si>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</si>
  <si>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</si>
  <si>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</si>
  <si>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</si>
  <si>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</si>
  <si>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</si>
  <si>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</si>
  <si>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</si>
  <si>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</si>
  <si>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</si>
  <si>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</si>
  <si>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</si>
  <si>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</si>
  <si>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</si>
  <si>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</si>
  <si>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</si>
  <si>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</si>
  <si>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</si>
  <si>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</si>
  <si>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</si>
  <si>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</si>
  <si>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</si>
  <si>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</si>
  <si>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</si>
  <si>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</si>
  <si>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</si>
  <si>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</si>
  <si>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</si>
  <si>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</si>
  <si>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</si>
  <si>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</si>
  <si>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</si>
  <si>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</si>
  <si>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</si>
  <si>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</si>
  <si>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</si>
  <si>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</si>
  <si>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</si>
  <si>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</si>
  <si>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</si>
  <si>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</si>
  <si>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</si>
  <si>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</si>
  <si>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</si>
  <si>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</si>
  <si>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</si>
  <si>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</si>
  <si>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</si>
  <si>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</si>
  <si>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</si>
  <si>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</si>
  <si>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</si>
  <si>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</si>
  <si>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</si>
  <si>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</si>
  <si>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</si>
  <si>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</si>
  <si>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</si>
  <si>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</si>
  <si>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</si>
  <si>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</si>
  <si>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</si>
  <si>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</si>
  <si>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</si>
  <si>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</si>
  <si>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</si>
  <si>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</si>
  <si>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</si>
  <si>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</si>
  <si>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</si>
  <si>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</si>
  <si>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</si>
  <si>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</si>
  <si>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</si>
  <si>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</si>
  <si>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</si>
  <si>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</si>
  <si>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</si>
  <si>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</si>
  <si>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</si>
  <si>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</si>
  <si>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</si>
  <si>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</si>
  <si>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</si>
  <si>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</si>
  <si>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</si>
  <si>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</si>
  <si>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</si>
  <si>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</si>
  <si>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</si>
  <si>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</si>
  <si>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</si>
  <si>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</si>
  <si>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</si>
  <si>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</si>
  <si>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</si>
  <si>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</si>
  <si>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</si>
  <si>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</si>
  <si>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</si>
  <si>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</si>
  <si>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</si>
  <si>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</si>
  <si>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</si>
  <si>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</si>
  <si>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</si>
  <si>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</si>
  <si>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</si>
  <si>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</si>
  <si>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</si>
  <si>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</si>
  <si>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</si>
  <si>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</si>
  <si>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</si>
  <si>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</si>
  <si>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</si>
  <si>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</si>
  <si>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</si>
  <si>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</si>
  <si>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</si>
  <si>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</si>
  <si>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</si>
  <si>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</si>
  <si>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</si>
  <si>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</si>
  <si>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</si>
  <si>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</si>
  <si>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</si>
  <si>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</si>
  <si>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</si>
  <si>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</si>
  <si>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</si>
  <si>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</si>
  <si>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</si>
  <si>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</si>
  <si>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</si>
  <si>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</si>
  <si>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</si>
  <si>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</si>
  <si>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</si>
  <si>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</si>
  <si>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</si>
  <si>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</si>
  <si>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</si>
  <si>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</si>
  <si>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</si>
  <si>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</si>
  <si>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</si>
  <si>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</si>
  <si>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</si>
  <si>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</si>
  <si>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</si>
  <si>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</si>
  <si>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</si>
  <si>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</si>
  <si>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</si>
  <si>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</si>
  <si>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</si>
  <si>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</si>
  <si>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</si>
  <si>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</si>
  <si>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</si>
  <si>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</si>
  <si>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</si>
  <si>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</si>
  <si>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</si>
  <si>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</si>
  <si>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</si>
  <si>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</si>
  <si>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</si>
  <si>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</si>
  <si>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</si>
  <si>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</si>
  <si>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</si>
  <si>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</si>
  <si>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</si>
  <si>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</si>
  <si>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</si>
  <si>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</si>
  <si>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</si>
  <si>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</si>
  <si>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</si>
  <si>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</si>
  <si>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</si>
  <si>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</si>
  <si>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</si>
  <si>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</si>
  <si>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</si>
  <si>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</si>
  <si>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</si>
  <si>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</si>
  <si>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</si>
  <si>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</si>
  <si>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</si>
  <si>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</si>
  <si>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</si>
  <si>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</si>
  <si>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</si>
  <si>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</si>
  <si>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</si>
  <si>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</si>
  <si>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</si>
  <si>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</si>
  <si>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</si>
  <si>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</si>
  <si>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</si>
  <si>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</si>
  <si>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</si>
  <si>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</si>
  <si>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</si>
  <si>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</si>
  <si>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</si>
  <si>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</si>
  <si>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</si>
  <si>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</si>
  <si>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</si>
  <si>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</si>
  <si>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</si>
  <si>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</si>
  <si>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</si>
  <si>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</si>
  <si>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</si>
  <si>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</si>
  <si>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</si>
  <si>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</si>
  <si>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</si>
  <si>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</si>
  <si>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</si>
  <si>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</si>
  <si>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</si>
  <si>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</si>
  <si>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</si>
  <si>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</si>
  <si>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</si>
  <si>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</si>
  <si>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</si>
  <si>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</si>
  <si>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</si>
  <si>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</si>
  <si>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</si>
  <si>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</si>
  <si>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</si>
  <si>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</si>
  <si>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</si>
  <si>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</si>
  <si>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</si>
  <si>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</si>
  <si>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</si>
  <si>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</si>
  <si>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</si>
  <si>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</si>
  <si>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</si>
  <si>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</si>
  <si>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</si>
  <si>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</si>
  <si>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</si>
  <si>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</si>
  <si>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</si>
  <si>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</si>
  <si>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</si>
  <si>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</si>
  <si>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</si>
  <si>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</si>
  <si>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</si>
  <si>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</si>
  <si>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</si>
  <si>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</si>
  <si>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</si>
  <si>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</si>
  <si>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</si>
  <si>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</si>
  <si>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</si>
  <si>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</si>
  <si>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</si>
  <si>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</si>
  <si>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</si>
  <si>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</si>
  <si>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</si>
  <si>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</si>
  <si>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</si>
  <si>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</si>
  <si>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</si>
  <si>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</si>
  <si>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</si>
  <si>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</si>
  <si>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</si>
  <si>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</si>
  <si>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</si>
  <si>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</si>
  <si>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</si>
  <si>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</si>
  <si>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</si>
  <si>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</si>
  <si>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</si>
  <si>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</si>
  <si>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</si>
  <si>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</si>
  <si>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</si>
  <si>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</si>
  <si>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</si>
  <si>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</si>
  <si>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</si>
  <si>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</si>
  <si>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</si>
  <si>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</si>
  <si>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</si>
  <si>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</si>
  <si>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</si>
  <si>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</si>
  <si>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</si>
  <si>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</si>
  <si>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</si>
  <si>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</si>
  <si>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</si>
  <si>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</si>
  <si>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</si>
  <si>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</si>
  <si>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</si>
  <si>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</si>
  <si>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</si>
  <si>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</si>
  <si>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</si>
  <si>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</si>
  <si>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</si>
  <si>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</si>
  <si>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</si>
  <si>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</si>
  <si>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</si>
  <si>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</si>
  <si>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</si>
  <si>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</si>
  <si>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</si>
  <si>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</si>
  <si>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</si>
  <si>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</si>
  <si>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</si>
  <si>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</si>
  <si>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</si>
  <si>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</si>
  <si>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</si>
  <si>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</si>
  <si>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</si>
  <si>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</si>
  <si>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</si>
  <si>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</si>
  <si>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</si>
  <si>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</si>
  <si>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</si>
  <si>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</si>
  <si>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</si>
  <si>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</si>
  <si>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</si>
  <si>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</si>
  <si>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</si>
  <si>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</si>
  <si>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</si>
  <si>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</si>
  <si>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</si>
  <si>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</si>
  <si>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</si>
  <si>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</si>
  <si>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</si>
  <si>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</si>
  <si>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</si>
  <si>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</si>
  <si>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</si>
  <si>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</si>
  <si>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</si>
  <si>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</si>
  <si>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</si>
  <si>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</si>
  <si>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</si>
  <si>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</si>
  <si>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</si>
  <si>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</si>
  <si>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</si>
  <si>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</si>
  <si>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</si>
  <si>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</si>
  <si>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</si>
  <si>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</si>
  <si>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</si>
  <si>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</si>
  <si>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</si>
  <si>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</si>
  <si>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</si>
  <si>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</si>
  <si>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</si>
  <si>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</si>
  <si>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</si>
  <si>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</si>
  <si>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</si>
  <si>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</si>
  <si>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</si>
  <si>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</si>
  <si>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</si>
  <si>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</si>
  <si>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</si>
  <si>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</si>
  <si>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</si>
  <si>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</si>
  <si>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</si>
  <si>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</si>
  <si>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</si>
  <si>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</si>
  <si>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</si>
  <si>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</si>
  <si>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</si>
  <si>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</si>
  <si>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</si>
  <si>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</si>
  <si>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</si>
  <si>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</si>
  <si>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</si>
  <si>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</si>
  <si>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</si>
  <si>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</si>
  <si>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</si>
  <si>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</si>
  <si>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</si>
  <si>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</si>
  <si>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</si>
  <si>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</si>
  <si>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</si>
  <si>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</si>
  <si>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</si>
  <si>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</si>
  <si>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</si>
  <si>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</si>
  <si>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</si>
  <si>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</si>
  <si>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</si>
  <si>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</si>
  <si>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</si>
  <si>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</si>
  <si>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</si>
  <si>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</si>
  <si>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</si>
  <si>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</si>
  <si>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</si>
  <si>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</si>
  <si>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</si>
  <si>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</si>
  <si>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</si>
  <si>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</si>
  <si>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</si>
  <si>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</si>
  <si>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</si>
  <si>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</si>
  <si>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</si>
  <si>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</si>
  <si>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</si>
  <si>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</si>
  <si>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</si>
  <si>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</si>
  <si>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</si>
  <si>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</si>
  <si>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</si>
  <si>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</si>
  <si>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</si>
  <si>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</si>
  <si>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</si>
  <si>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</si>
  <si>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</si>
  <si>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</si>
  <si>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</si>
  <si>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</si>
  <si>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</si>
  <si>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</si>
  <si>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</si>
  <si>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</si>
  <si>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</si>
  <si>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</si>
  <si>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</si>
  <si>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</si>
  <si>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</si>
  <si>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</si>
  <si>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</si>
  <si>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</si>
  <si>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</si>
  <si>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</si>
  <si>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</si>
  <si>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</si>
  <si>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</si>
  <si>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</si>
  <si>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</si>
  <si>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</si>
  <si>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</si>
  <si>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</si>
  <si>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</si>
  <si>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</si>
  <si>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</si>
  <si>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</si>
  <si>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</si>
  <si>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</si>
  <si>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</si>
  <si>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</si>
  <si>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</si>
  <si>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</si>
  <si>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</si>
  <si>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</si>
  <si>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</si>
  <si>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</si>
  <si>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</si>
  <si>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</si>
  <si>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</si>
  <si>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</si>
  <si>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</si>
  <si>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</si>
  <si>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</si>
  <si>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</si>
  <si>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</si>
  <si>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</si>
  <si>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</si>
  <si>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</si>
  <si>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</si>
  <si>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</si>
  <si>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</si>
  <si>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</si>
  <si>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</si>
  <si>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</si>
  <si>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</si>
  <si>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</si>
  <si>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</si>
  <si>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</si>
  <si>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</si>
  <si>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</si>
  <si>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</si>
  <si>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</si>
  <si>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</si>
  <si>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</si>
  <si>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</si>
  <si>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</si>
  <si>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</si>
  <si>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</si>
  <si>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</si>
  <si>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</si>
  <si>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</si>
  <si>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</si>
  <si>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</si>
  <si>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</si>
  <si>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</si>
  <si>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</si>
  <si>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</si>
  <si>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</si>
  <si>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</si>
  <si>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</si>
  <si>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</si>
  <si>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</si>
  <si>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</si>
  <si>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</si>
  <si>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</si>
  <si>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</si>
  <si>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</si>
  <si>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</si>
  <si>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</si>
  <si>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</si>
  <si>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</si>
  <si>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</si>
  <si>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</si>
  <si>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</si>
  <si>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</si>
  <si>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</si>
  <si>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</si>
  <si>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</si>
  <si>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</si>
  <si>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</si>
  <si>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</si>
  <si>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</si>
  <si>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</si>
  <si>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</si>
  <si>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</si>
  <si>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</si>
  <si>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</si>
  <si>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</si>
  <si>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</si>
  <si>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</si>
  <si>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</si>
  <si>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</si>
  <si>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</si>
  <si>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</si>
  <si>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</si>
  <si>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</si>
  <si>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</si>
  <si>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</si>
  <si>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</si>
  <si>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</si>
  <si>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</si>
  <si>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</si>
  <si>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</si>
  <si>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</si>
  <si>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</si>
  <si>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</si>
  <si>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</si>
  <si>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</si>
  <si>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</si>
  <si>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</si>
  <si>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</si>
  <si>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</si>
  <si>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</si>
  <si>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</si>
  <si>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</si>
  <si>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</si>
  <si>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</si>
  <si>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</si>
  <si>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</si>
  <si>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</si>
  <si>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</si>
  <si>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</si>
  <si>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</si>
  <si>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</si>
  <si>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</si>
  <si>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</si>
  <si>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</si>
  <si>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</si>
  <si>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</si>
  <si>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</si>
  <si>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</si>
  <si>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</si>
  <si>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</si>
  <si>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</si>
  <si>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</si>
  <si>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</si>
  <si>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</si>
  <si>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</si>
  <si>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</si>
  <si>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</si>
  <si>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</si>
  <si>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</si>
  <si>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</si>
  <si>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</si>
  <si>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</si>
  <si>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</si>
  <si>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</si>
  <si>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</si>
  <si>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</si>
  <si>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</si>
  <si>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</si>
  <si>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</si>
  <si>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</si>
  <si>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</si>
  <si>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</si>
  <si>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</si>
  <si>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</si>
  <si>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</si>
  <si>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</si>
  <si>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</si>
  <si>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</si>
  <si>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</si>
  <si>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</si>
  <si>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</si>
  <si>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</si>
  <si>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</si>
  <si>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</si>
  <si>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</si>
  <si>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</si>
  <si>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</si>
  <si>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</si>
  <si>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</si>
  <si>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</si>
  <si>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</si>
  <si>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</si>
  <si>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</si>
  <si>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</si>
  <si>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</si>
  <si>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</si>
  <si>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</si>
  <si>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</si>
  <si>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</si>
  <si>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</si>
  <si>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</si>
  <si>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</si>
  <si>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</si>
  <si>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</si>
  <si>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</si>
  <si>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</si>
  <si>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</si>
  <si>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</si>
  <si>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</si>
  <si>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</si>
  <si>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</si>
  <si>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</si>
  <si>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</si>
  <si>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</si>
  <si>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</si>
  <si>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</si>
  <si>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</si>
  <si>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</si>
  <si>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</si>
  <si>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</si>
  <si>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</si>
  <si>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</si>
  <si>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</si>
  <si>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</si>
  <si>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</si>
  <si>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</si>
  <si>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</si>
  <si>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</si>
  <si>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</si>
  <si>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</si>
  <si>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</si>
  <si>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</si>
  <si>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</si>
  <si>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</si>
  <si>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</si>
  <si>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</si>
  <si>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</si>
  <si>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</si>
  <si>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</si>
  <si>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</si>
  <si>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</si>
  <si>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</si>
  <si>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</si>
  <si>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</si>
  <si>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</si>
  <si>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</si>
  <si>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</si>
  <si>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</si>
  <si>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</si>
  <si>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</si>
  <si>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</si>
  <si>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</si>
  <si>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</si>
  <si>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</si>
  <si>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</si>
  <si>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</si>
  <si>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</si>
  <si>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</si>
  <si>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</si>
  <si>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</si>
  <si>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</si>
  <si>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</si>
  <si>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</si>
  <si>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</si>
  <si>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</si>
  <si>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</si>
  <si>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</si>
  <si>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</si>
  <si>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</si>
  <si>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</si>
  <si>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</si>
  <si>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</si>
  <si>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</si>
  <si>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</si>
  <si>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</si>
  <si>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</si>
  <si>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</si>
  <si>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</si>
  <si>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</si>
  <si>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</si>
  <si>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</si>
  <si>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</si>
  <si>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</si>
  <si>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</si>
  <si>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</si>
  <si>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</si>
  <si>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</si>
  <si>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</si>
  <si>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</si>
  <si>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</si>
  <si>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</si>
  <si>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</si>
  <si>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</si>
  <si>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</si>
  <si>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</si>
  <si>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</si>
  <si>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</si>
  <si>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</si>
  <si>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</si>
  <si>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</si>
  <si>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</si>
  <si>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</si>
  <si>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</si>
  <si>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</si>
  <si>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</si>
  <si>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</si>
  <si>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</si>
  <si>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</si>
  <si>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</si>
  <si>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</si>
  <si>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</si>
  <si>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</si>
  <si>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</si>
  <si>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</si>
  <si>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</si>
  <si>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</si>
  <si>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</si>
  <si>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</si>
  <si>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</si>
  <si>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</si>
  <si>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</si>
  <si>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</si>
  <si>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</si>
  <si>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</si>
  <si>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</si>
  <si>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</si>
  <si>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</si>
  <si>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</si>
  <si>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</si>
  <si>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</si>
  <si>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</si>
  <si>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</si>
  <si>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</si>
  <si>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</si>
  <si>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</si>
  <si>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</si>
  <si>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</si>
  <si>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</si>
  <si>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</si>
  <si>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</si>
  <si>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</si>
  <si>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</si>
  <si>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</si>
  <si>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</si>
  <si>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</si>
  <si>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</si>
  <si>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</si>
  <si>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</si>
  <si>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</si>
  <si>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</si>
  <si>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</si>
  <si>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</si>
  <si>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</si>
  <si>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</si>
  <si>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</si>
  <si>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</si>
  <si>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</si>
  <si>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</si>
  <si>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</si>
  <si>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</si>
  <si>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</si>
  <si>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</si>
  <si>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</si>
  <si>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</si>
  <si>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</si>
  <si>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</si>
  <si>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</si>
  <si>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</si>
  <si>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</si>
  <si>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</si>
  <si>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</si>
  <si>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</si>
  <si>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</si>
  <si>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</si>
  <si>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</si>
  <si>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</si>
  <si>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</si>
  <si>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</si>
  <si>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</si>
  <si>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</si>
  <si>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</si>
  <si>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</si>
  <si>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</si>
  <si>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</si>
  <si>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</si>
  <si>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</si>
  <si>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</si>
  <si>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</si>
  <si>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</si>
  <si>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</si>
  <si>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</si>
  <si>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</si>
  <si>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</si>
  <si>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</si>
  <si>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</si>
  <si>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</si>
  <si>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</si>
  <si>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</si>
  <si>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</si>
  <si>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</si>
  <si>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</si>
  <si>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</si>
  <si>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</si>
  <si>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</si>
  <si>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</si>
  <si>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</si>
  <si>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</si>
  <si>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</si>
  <si>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</si>
  <si>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</si>
  <si>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</si>
  <si>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</si>
  <si>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</si>
  <si>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</si>
  <si>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</si>
  <si>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</si>
  <si>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</si>
  <si>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</si>
  <si>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</si>
  <si>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</si>
  <si>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</si>
  <si>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</si>
  <si>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</si>
  <si>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</si>
  <si>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</si>
  <si>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</si>
  <si>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</si>
  <si>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</si>
  <si>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</si>
  <si>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</si>
  <si>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</si>
  <si>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</si>
  <si>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</si>
  <si>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</si>
  <si>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</si>
  <si>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</si>
  <si>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</si>
  <si>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</si>
  <si>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</si>
  <si>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</si>
  <si>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</si>
  <si>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</si>
  <si>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</si>
  <si>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</si>
  <si>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</si>
  <si>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</si>
  <si>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</si>
  <si>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</si>
  <si>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</si>
  <si>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</si>
  <si>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</si>
  <si>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</si>
  <si>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</si>
  <si>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</si>
  <si>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</si>
  <si>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</si>
  <si>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</si>
  <si>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</si>
  <si>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</si>
  <si>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</si>
  <si>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</si>
  <si>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</si>
  <si>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</si>
  <si>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</si>
  <si>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</si>
  <si>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</si>
  <si>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</si>
  <si>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</si>
  <si>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</si>
  <si>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</si>
  <si>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</si>
  <si>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</si>
  <si>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</si>
  <si>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</si>
  <si>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</si>
  <si>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</si>
  <si>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</si>
  <si>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</si>
  <si>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</si>
  <si>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</si>
  <si>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</si>
  <si>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</si>
  <si>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</si>
  <si>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</si>
  <si>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</si>
  <si>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</si>
  <si>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</si>
  <si>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</si>
  <si>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</si>
  <si>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</si>
  <si>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</si>
  <si>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</si>
  <si>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</si>
  <si>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</si>
  <si>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</si>
  <si>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</si>
  <si>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</si>
  <si>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</si>
  <si>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</si>
  <si>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</si>
  <si>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</si>
  <si>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</si>
  <si>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</si>
  <si>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</si>
  <si>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</si>
  <si>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</si>
  <si>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</si>
  <si>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</si>
  <si>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</si>
  <si>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</si>
  <si>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</si>
  <si>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</si>
  <si>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</si>
  <si>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</si>
  <si>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</si>
  <si>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</si>
  <si>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</si>
  <si>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</si>
  <si>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</si>
  <si>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</si>
  <si>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</si>
  <si>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</si>
  <si>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</si>
  <si>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</si>
  <si>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</si>
  <si>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</si>
  <si>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</si>
  <si>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</si>
  <si>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</si>
  <si>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</si>
  <si>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</si>
  <si>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</si>
  <si>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</si>
  <si>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</si>
  <si>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</si>
  <si>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</si>
  <si>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</si>
  <si>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</si>
  <si>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</si>
  <si>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</si>
  <si>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</si>
  <si>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</si>
  <si>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</si>
  <si>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</si>
  <si>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</si>
  <si>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</si>
  <si>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</si>
  <si>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</si>
  <si>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</si>
  <si>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</si>
  <si>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</si>
  <si>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</si>
  <si>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</si>
  <si>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</si>
  <si>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</si>
  <si>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</si>
  <si>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</si>
  <si>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</si>
  <si>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</si>
  <si>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</si>
  <si>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</si>
  <si>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</si>
  <si>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</si>
  <si>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</si>
  <si>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</si>
  <si>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</si>
  <si>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</si>
  <si>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</si>
  <si>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</si>
  <si>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</si>
  <si>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</si>
  <si>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</si>
  <si>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</si>
  <si>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</si>
  <si>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</si>
  <si>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</si>
  <si>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</si>
  <si>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</si>
  <si>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</si>
  <si>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</si>
  <si>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</si>
  <si>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</si>
  <si>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</si>
  <si>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</si>
  <si>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</si>
  <si>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</si>
  <si>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</si>
  <si>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</si>
  <si>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</si>
  <si>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</si>
  <si>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</si>
  <si>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</si>
  <si>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</si>
  <si>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</si>
  <si>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</si>
  <si>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</si>
  <si>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</si>
  <si>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</si>
  <si>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</si>
  <si>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</si>
  <si>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</si>
  <si>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</si>
  <si>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</si>
  <si>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</si>
  <si>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</si>
  <si>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</si>
  <si>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</si>
  <si>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</si>
  <si>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</si>
  <si>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</si>
  <si>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</si>
  <si>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</si>
  <si>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</si>
  <si>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</si>
  <si>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</si>
  <si>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</si>
  <si>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</si>
  <si>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</si>
  <si>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</si>
  <si>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</si>
  <si>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</si>
  <si>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</si>
  <si>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</si>
  <si>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</si>
  <si>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</si>
  <si>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</si>
  <si>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</si>
  <si>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</si>
  <si>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</si>
  <si>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</si>
  <si>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</si>
  <si>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</si>
  <si>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</si>
  <si>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</si>
  <si>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</si>
  <si>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</si>
  <si>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</si>
  <si>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</si>
  <si>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</si>
  <si>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</si>
  <si>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</si>
  <si>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</si>
  <si>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</si>
  <si>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</si>
  <si>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</si>
  <si>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</si>
  <si>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</si>
  <si>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</si>
  <si>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</si>
  <si>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</si>
  <si>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</si>
  <si>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</si>
  <si>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</si>
  <si>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</si>
  <si>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</si>
  <si>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</si>
  <si>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</si>
  <si>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</si>
  <si>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</si>
  <si>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</si>
  <si>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</si>
  <si>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</si>
  <si>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</si>
  <si>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</si>
  <si>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</si>
  <si>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</si>
  <si>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</si>
  <si>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</si>
  <si>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</si>
  <si>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</si>
  <si>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</si>
  <si>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</si>
  <si>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</si>
  <si>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</si>
  <si>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</si>
  <si>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</si>
  <si>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</si>
  <si>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</si>
  <si>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</si>
  <si>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</si>
  <si>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</si>
  <si>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</si>
  <si>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</si>
  <si>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</si>
  <si>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</si>
  <si>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</si>
  <si>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</si>
  <si>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</si>
  <si>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</si>
  <si>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</si>
  <si>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</si>
  <si>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</si>
  <si>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</si>
  <si>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</si>
  <si>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</si>
  <si>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</si>
  <si>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</si>
  <si>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</si>
  <si>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</si>
  <si>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</si>
  <si>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</si>
  <si>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</si>
  <si>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</si>
  <si>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</si>
  <si>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</si>
  <si>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</si>
  <si>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</si>
  <si>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</si>
  <si>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</si>
  <si>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</si>
  <si>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</si>
  <si>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</si>
  <si>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</si>
  <si>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</si>
  <si>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</si>
  <si>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</si>
  <si>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</si>
  <si>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</si>
  <si>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</si>
  <si>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</si>
  <si>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</si>
  <si>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</si>
  <si>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</si>
  <si>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</si>
  <si>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</si>
  <si>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</si>
  <si>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</si>
  <si>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</si>
  <si>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</si>
  <si>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</si>
  <si>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</si>
  <si>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</si>
  <si>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</si>
  <si>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</si>
  <si>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</si>
  <si>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</si>
  <si>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</si>
  <si>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</si>
  <si>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</si>
  <si>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</si>
  <si>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</si>
  <si>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</si>
  <si>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</si>
  <si>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</si>
  <si>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</si>
  <si>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</si>
  <si>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</si>
  <si>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</si>
  <si>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</si>
  <si>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</si>
  <si>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</si>
  <si>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</si>
  <si>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</si>
  <si>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</si>
  <si>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</si>
  <si>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</si>
  <si>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</si>
  <si>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</si>
  <si>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</si>
  <si>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</si>
  <si>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</si>
  <si>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</si>
  <si>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</si>
  <si>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</si>
  <si>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</si>
  <si>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</si>
  <si>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</si>
  <si>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</si>
  <si>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</si>
  <si>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</si>
  <si>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</si>
  <si>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</si>
  <si>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</si>
  <si>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</si>
  <si>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</si>
  <si>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</si>
  <si>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</si>
  <si>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</si>
  <si>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</si>
  <si>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</si>
  <si>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</si>
  <si>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</si>
  <si>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</si>
  <si>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</si>
  <si>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</si>
  <si>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</si>
  <si>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</si>
  <si>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</si>
  <si>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</si>
  <si>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</si>
  <si>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</si>
  <si>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</si>
  <si>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</si>
  <si>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</si>
  <si>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</si>
  <si>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</si>
  <si>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</si>
  <si>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</si>
  <si>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</si>
  <si>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</si>
  <si>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</si>
  <si>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</si>
  <si>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</si>
  <si>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</si>
  <si>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</si>
  <si>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</si>
  <si>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</si>
  <si>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</si>
  <si>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</si>
  <si>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</si>
  <si>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</si>
  <si>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</si>
  <si>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</si>
  <si>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</si>
  <si>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</si>
  <si>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</si>
  <si>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</si>
  <si>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</si>
  <si>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</si>
  <si>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</si>
  <si>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</si>
  <si>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</si>
  <si>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</si>
  <si>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</si>
  <si>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</si>
  <si>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</si>
  <si>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</si>
  <si>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</si>
  <si>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</si>
  <si>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</si>
  <si>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</si>
  <si>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</si>
  <si>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</si>
  <si>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</si>
  <si>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</si>
  <si>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</si>
  <si>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</si>
  <si>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</si>
  <si>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</si>
  <si>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</si>
  <si>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</si>
  <si>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</si>
  <si>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</si>
  <si>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</si>
  <si>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</si>
  <si>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</si>
  <si>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</si>
  <si>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</si>
  <si>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</si>
  <si>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</si>
  <si>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</si>
  <si>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</si>
  <si>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</si>
  <si>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</si>
  <si>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</si>
  <si>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</si>
  <si>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</si>
  <si>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</si>
  <si>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</si>
  <si>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</si>
  <si>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</si>
  <si>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</si>
  <si>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</si>
  <si>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</si>
  <si>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</si>
  <si>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</si>
  <si>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</si>
  <si>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</si>
  <si>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</si>
  <si>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</si>
  <si>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</si>
  <si>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</si>
  <si>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</si>
  <si>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</si>
  <si>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</si>
  <si>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</si>
  <si>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</si>
  <si>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</si>
  <si>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</si>
  <si>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</si>
  <si>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</si>
  <si>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</si>
  <si>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</si>
  <si>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</si>
  <si>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</si>
  <si>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</si>
  <si>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</si>
  <si>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</si>
  <si>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</si>
  <si>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</si>
  <si>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</si>
  <si>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</si>
  <si>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</si>
  <si>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</si>
  <si>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</si>
  <si>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</si>
  <si>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</si>
  <si>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</si>
  <si>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</si>
  <si>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</si>
  <si>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</si>
  <si>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</si>
  <si>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</si>
  <si>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</si>
  <si>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</si>
  <si>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</si>
  <si>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</si>
  <si>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</si>
  <si>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</si>
  <si>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</si>
  <si>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</si>
  <si>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</si>
  <si>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</si>
  <si>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</si>
  <si>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</si>
  <si>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</si>
  <si>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</si>
  <si>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</si>
  <si>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</si>
  <si>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</si>
  <si>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</si>
  <si>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</si>
  <si>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</si>
  <si>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</si>
  <si>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</si>
  <si>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</si>
  <si>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</si>
  <si>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</si>
  <si>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</si>
  <si>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</si>
  <si>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</si>
  <si>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</si>
  <si>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</si>
  <si>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</si>
  <si>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</si>
  <si>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</si>
  <si>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</si>
  <si>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</si>
  <si>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</si>
  <si>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</si>
  <si>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</si>
  <si>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</si>
  <si>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</si>
  <si>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</si>
  <si>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</si>
  <si>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</si>
  <si>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</si>
  <si>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</si>
  <si>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</si>
  <si>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</si>
  <si>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</si>
  <si>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</si>
  <si>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</si>
  <si>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</si>
  <si>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</si>
  <si>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</si>
  <si>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</si>
  <si>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</si>
  <si>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</si>
  <si>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</si>
  <si>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</si>
  <si>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</si>
  <si>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</si>
  <si>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</si>
  <si>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</si>
  <si>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</si>
  <si>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</si>
  <si>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</si>
  <si>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</si>
  <si>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</si>
  <si>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</si>
  <si>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</si>
  <si>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</si>
  <si>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</si>
  <si>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</si>
  <si>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</si>
  <si>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</si>
  <si>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</si>
  <si>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</si>
  <si>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</si>
  <si>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</si>
  <si>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</si>
  <si>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</si>
  <si>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</si>
  <si>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</si>
  <si>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</si>
  <si>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</si>
  <si>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</si>
  <si>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</si>
  <si>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</si>
  <si>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</si>
  <si>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</si>
  <si>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</si>
  <si>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</si>
  <si>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</si>
  <si>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</si>
  <si>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</si>
  <si>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</si>
  <si>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</si>
  <si>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</si>
  <si>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</si>
  <si>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</si>
  <si>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</si>
  <si>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</si>
  <si>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</si>
  <si>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</si>
  <si>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</si>
  <si>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</si>
  <si>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</si>
  <si>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</si>
  <si>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</si>
  <si>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</si>
  <si>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</si>
  <si>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</si>
  <si>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</si>
  <si>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</si>
  <si>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</si>
  <si>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</si>
  <si>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</si>
  <si>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</si>
  <si>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</si>
  <si>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</si>
  <si>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</si>
  <si>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</si>
  <si>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</si>
  <si>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</si>
  <si>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</si>
  <si>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</si>
  <si>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</si>
  <si>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</si>
  <si>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</si>
  <si>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</si>
  <si>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</si>
  <si>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</si>
  <si>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</si>
  <si>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</si>
  <si>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</si>
  <si>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</si>
  <si>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</si>
  <si>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</si>
  <si>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</si>
  <si>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</si>
  <si>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</si>
  <si>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</si>
  <si>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</si>
  <si>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</si>
  <si>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</si>
  <si>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</si>
  <si>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</si>
  <si>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</si>
  <si>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</si>
  <si>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</si>
  <si>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</si>
  <si>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</si>
  <si>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</si>
  <si>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</si>
  <si>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</si>
  <si>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</si>
  <si>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</si>
  <si>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</si>
  <si>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</si>
  <si>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</si>
  <si>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</si>
  <si>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</si>
  <si>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</si>
  <si>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</si>
  <si>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</si>
  <si>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</si>
  <si>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</si>
  <si>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</si>
  <si>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</si>
  <si>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</si>
  <si>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</si>
  <si>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</si>
  <si>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</si>
  <si>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</si>
  <si>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</si>
  <si>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</si>
  <si>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</si>
  <si>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</si>
  <si>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</si>
  <si>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</si>
  <si>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</si>
  <si>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</si>
  <si>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</si>
  <si>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</si>
  <si>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</si>
  <si>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</si>
  <si>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</si>
  <si>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</si>
  <si>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</si>
  <si>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</si>
  <si>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</si>
  <si>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</si>
  <si>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</si>
  <si>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</si>
  <si>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</si>
  <si>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</si>
  <si>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</si>
  <si>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</si>
  <si>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</si>
  <si>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</si>
  <si>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</si>
  <si>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</si>
  <si>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</si>
  <si>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</si>
  <si>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</si>
  <si>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</si>
  <si>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</si>
  <si>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</si>
  <si>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</si>
  <si>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</si>
  <si>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</si>
  <si>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</si>
  <si>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</si>
  <si>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</si>
  <si>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</si>
  <si>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</si>
  <si>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</si>
  <si>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</si>
  <si>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</si>
  <si>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</si>
  <si>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</si>
  <si>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</si>
  <si>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</si>
  <si>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</si>
  <si>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</si>
  <si>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</si>
  <si>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</si>
  <si>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</si>
  <si>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</si>
  <si>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</si>
  <si>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</si>
  <si>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</si>
  <si>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</si>
  <si>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</si>
  <si>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</si>
  <si>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</si>
  <si>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</si>
  <si>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</si>
  <si>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</si>
  <si>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</si>
  <si>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</si>
  <si>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</si>
  <si>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</si>
  <si>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</si>
  <si>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</si>
  <si>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</si>
  <si>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</si>
  <si>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</si>
  <si>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</si>
  <si>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</si>
  <si>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</si>
  <si>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</si>
  <si>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</si>
  <si>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</si>
  <si>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</si>
  <si>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</si>
  <si>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</si>
  <si>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</si>
  <si>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</si>
  <si>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</si>
  <si>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</si>
  <si>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</si>
  <si>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</si>
  <si>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</si>
  <si>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</si>
  <si>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</si>
  <si>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</si>
  <si>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</si>
  <si>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</si>
  <si>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</si>
  <si>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</si>
  <si>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</si>
  <si>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</si>
  <si>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</si>
  <si>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</si>
  <si>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</si>
  <si>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</si>
  <si>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</si>
  <si>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</si>
  <si>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</si>
  <si>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</si>
  <si>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</si>
  <si>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</si>
  <si>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</si>
  <si>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</si>
  <si>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</si>
  <si>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</si>
  <si>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</si>
  <si>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</si>
  <si>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</si>
  <si>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</si>
  <si>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</si>
  <si>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</si>
  <si>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</si>
  <si>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</si>
  <si>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</si>
  <si>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</si>
  <si>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</si>
  <si>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</si>
  <si>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</si>
  <si>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</si>
  <si>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</si>
  <si>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</si>
  <si>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</si>
  <si>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</si>
  <si>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</si>
  <si>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</si>
  <si>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</si>
  <si>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</si>
  <si>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</si>
  <si>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</si>
  <si>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</si>
  <si>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</si>
  <si>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</si>
  <si>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</si>
  <si>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</si>
  <si>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</si>
  <si>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</si>
  <si>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</si>
  <si>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</si>
  <si>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</si>
  <si>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</si>
  <si>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</si>
  <si>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</si>
  <si>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</si>
  <si>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</si>
  <si>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</si>
  <si>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</si>
  <si>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</si>
  <si>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</si>
  <si>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</si>
  <si>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</si>
  <si>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</si>
  <si>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</si>
  <si>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</si>
  <si>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</si>
  <si>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</si>
  <si>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</si>
  <si>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</si>
  <si>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</si>
  <si>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</si>
  <si>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</si>
  <si>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</si>
  <si>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</si>
  <si>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</si>
  <si>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</si>
  <si>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</si>
  <si>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</si>
  <si>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</si>
  <si>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</si>
  <si>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</si>
  <si>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</si>
  <si>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</si>
  <si>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</si>
  <si>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</si>
  <si>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</si>
  <si>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</si>
  <si>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</si>
  <si>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</si>
  <si>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</si>
  <si>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</si>
  <si>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</si>
  <si>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</si>
  <si>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</si>
  <si>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</si>
  <si>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</si>
  <si>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</si>
  <si>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</si>
  <si>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</si>
  <si>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</si>
  <si>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</si>
  <si>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</si>
  <si>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</si>
  <si>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</si>
  <si>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</si>
  <si>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</si>
  <si>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</si>
  <si>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</si>
  <si>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</si>
  <si>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</si>
  <si>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</si>
  <si>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</si>
  <si>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</si>
  <si>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</si>
  <si>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</si>
  <si>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</si>
  <si>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</si>
  <si>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</si>
  <si>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</si>
  <si>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</si>
  <si>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</si>
  <si>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</si>
  <si>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</si>
  <si>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</si>
  <si>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</si>
  <si>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</si>
  <si>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</si>
  <si>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</si>
  <si>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</si>
  <si>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</si>
  <si>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</si>
  <si>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</si>
  <si>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</si>
  <si>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</si>
  <si>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</si>
  <si>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</si>
  <si>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</si>
  <si>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</si>
  <si>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</si>
  <si>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</si>
  <si>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</si>
  <si>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</si>
  <si>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</si>
  <si>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</si>
  <si>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</si>
  <si>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</si>
  <si>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</si>
  <si>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</si>
  <si>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</si>
  <si>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</si>
  <si>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</si>
  <si>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</si>
  <si>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</si>
  <si>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</si>
  <si>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</si>
  <si>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</si>
  <si>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</si>
  <si>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</si>
  <si>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</si>
  <si>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</si>
  <si>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</si>
  <si>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</si>
  <si>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</si>
  <si>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</si>
  <si>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</si>
  <si>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</si>
  <si>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</si>
  <si>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</si>
  <si>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</si>
  <si>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</si>
  <si>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</si>
  <si>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</si>
  <si>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</si>
  <si>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</si>
  <si>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</si>
  <si>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</si>
  <si>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</si>
  <si>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</si>
  <si>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</si>
  <si>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</si>
  <si>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</si>
  <si>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</si>
  <si>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</si>
  <si>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</si>
  <si>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</si>
  <si>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</si>
  <si>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</si>
  <si>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</si>
  <si>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</si>
  <si>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</si>
  <si>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</si>
  <si>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</si>
  <si>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</si>
  <si>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</si>
  <si>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</si>
  <si>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</si>
  <si>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</si>
  <si>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</si>
  <si>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</si>
  <si>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</si>
  <si>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</si>
  <si>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</si>
  <si>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</si>
  <si>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</si>
  <si>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</si>
  <si>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</si>
  <si>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</si>
  <si>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</si>
  <si>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</si>
  <si>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</si>
  <si>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</si>
  <si>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</si>
  <si>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</si>
  <si>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</si>
  <si>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</si>
  <si>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</si>
  <si>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</si>
  <si>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</si>
  <si>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</si>
  <si>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</si>
  <si>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</si>
  <si>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</si>
  <si>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</si>
  <si>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</si>
  <si>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</si>
  <si>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</si>
  <si>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</si>
  <si>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</si>
  <si>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</si>
  <si>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</si>
  <si>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</si>
  <si>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</si>
  <si>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</si>
  <si>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</si>
  <si>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</si>
  <si>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</si>
  <si>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</si>
  <si>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</si>
  <si>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</si>
  <si>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</si>
  <si>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</si>
  <si>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</si>
  <si>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</si>
  <si>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</si>
  <si>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</si>
  <si>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</si>
  <si>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</si>
  <si>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</si>
  <si>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</si>
  <si>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</si>
  <si>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</si>
  <si>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</si>
  <si>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</si>
  <si>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</si>
  <si>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</si>
  <si>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</si>
  <si>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</si>
  <si>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</si>
  <si>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</si>
  <si>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</si>
  <si>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</si>
  <si>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</si>
  <si>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</si>
  <si>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</si>
  <si>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</si>
  <si>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</si>
  <si>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</si>
  <si>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</si>
  <si>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</si>
  <si>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</si>
  <si>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</si>
  <si>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</si>
  <si>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</si>
  <si>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</si>
  <si>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</si>
  <si>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</si>
  <si>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</si>
  <si>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</si>
  <si>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</si>
  <si>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</si>
  <si>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</si>
  <si>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</si>
  <si>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</si>
  <si>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</si>
  <si>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</si>
  <si>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</si>
  <si>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</si>
  <si>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</si>
  <si>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</si>
  <si>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</si>
  <si>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</si>
  <si>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</si>
  <si>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</si>
  <si>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</si>
  <si>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</si>
  <si>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</si>
  <si>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</si>
  <si>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</si>
  <si>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</si>
  <si>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</si>
  <si>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</si>
  <si>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</si>
  <si>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</si>
  <si>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</si>
  <si>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</si>
  <si>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</si>
  <si>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</si>
  <si>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</si>
  <si>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</si>
  <si>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</si>
  <si>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</si>
  <si>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</si>
  <si>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</si>
  <si>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</si>
  <si>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</si>
  <si>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</si>
  <si>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</si>
  <si>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</si>
  <si>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</si>
  <si>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</si>
  <si>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</si>
  <si>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</si>
  <si>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</si>
  <si>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</si>
  <si>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</si>
  <si>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</si>
  <si>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</si>
  <si>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</si>
  <si>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</si>
  <si>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</si>
  <si>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</si>
  <si>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</si>
  <si>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</si>
  <si>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</si>
  <si>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</si>
  <si>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</si>
  <si>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</si>
  <si>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</si>
  <si>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</si>
  <si>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</si>
  <si>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</si>
  <si>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</si>
  <si>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</si>
  <si>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</si>
  <si>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</si>
  <si>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</si>
  <si>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</si>
  <si>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</si>
  <si>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</si>
  <si>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</si>
  <si>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</si>
  <si>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</si>
  <si>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</si>
  <si>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</si>
  <si>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</si>
  <si>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</si>
  <si>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</si>
  <si>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</si>
  <si>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</si>
  <si>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</si>
  <si>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</si>
  <si>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</si>
  <si>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</si>
  <si>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</si>
  <si>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</si>
  <si>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</si>
  <si>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</si>
  <si>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</si>
  <si>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</si>
  <si>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</si>
  <si>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</si>
  <si>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</si>
  <si>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</si>
  <si>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</si>
  <si>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</si>
  <si>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</si>
  <si>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</si>
  <si>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</si>
  <si>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</si>
  <si>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</si>
  <si>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</si>
  <si>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</si>
  <si>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</si>
  <si>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</si>
  <si>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</si>
  <si>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</si>
  <si>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</si>
  <si>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</si>
  <si>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</si>
  <si>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</si>
  <si>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</si>
  <si>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</si>
  <si>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</si>
  <si>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</si>
  <si>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</si>
  <si>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</si>
  <si>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</si>
  <si>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</si>
  <si>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</si>
  <si>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</si>
  <si>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</si>
  <si>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</si>
  <si>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</si>
  <si>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</si>
  <si>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</si>
  <si>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</si>
  <si>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</si>
  <si>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</si>
  <si>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</si>
  <si>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</si>
  <si>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</si>
  <si>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</si>
  <si>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</si>
  <si>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</si>
  <si>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</si>
  <si>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</si>
  <si>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</si>
  <si>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</si>
  <si>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</si>
  <si>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</si>
  <si>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</si>
  <si>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</si>
  <si>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</si>
  <si>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</si>
  <si>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</si>
  <si>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</si>
  <si>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</si>
  <si>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</si>
  <si>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</si>
  <si>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</si>
  <si>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</si>
  <si>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</si>
  <si>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</si>
  <si>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</si>
  <si>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</si>
  <si>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</si>
  <si>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</si>
  <si>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</si>
  <si>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</si>
  <si>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</si>
  <si>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</si>
  <si>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</si>
  <si>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</si>
  <si>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</si>
  <si>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</si>
  <si>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</si>
  <si>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</si>
  <si>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</si>
  <si>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</si>
  <si>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</si>
  <si>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</si>
  <si>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</si>
  <si>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</si>
  <si>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</si>
  <si>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</si>
  <si>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</si>
  <si>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</si>
  <si>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</si>
  <si>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</si>
  <si>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</si>
  <si>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</si>
  <si>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</si>
  <si>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</si>
  <si>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</si>
  <si>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</si>
  <si>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</si>
  <si>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</si>
  <si>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</si>
  <si>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</si>
  <si>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</si>
  <si>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</si>
  <si>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</si>
  <si>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</si>
  <si>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</si>
  <si>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</si>
  <si>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</si>
  <si>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</si>
  <si>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</si>
  <si>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</si>
  <si>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</si>
  <si>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</si>
  <si>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</si>
  <si>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</si>
  <si>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</si>
  <si>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</si>
  <si>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</si>
  <si>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</si>
  <si>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</si>
  <si>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</si>
  <si>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</si>
  <si>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</si>
  <si>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</si>
  <si>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</si>
  <si>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</si>
  <si>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</si>
  <si>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</si>
  <si>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</si>
  <si>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</si>
  <si>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</si>
  <si>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</si>
  <si>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</si>
  <si>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</si>
  <si>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</si>
  <si>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</si>
  <si>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</si>
  <si>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</si>
  <si>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</si>
  <si>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</si>
  <si>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</si>
  <si>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</si>
  <si>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</si>
  <si>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</si>
  <si>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</si>
  <si>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</si>
  <si>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</si>
  <si>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</si>
  <si>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</si>
  <si>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</si>
  <si>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</si>
  <si>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</si>
  <si>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</si>
  <si>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</si>
  <si>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</si>
  <si>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</si>
  <si>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</si>
  <si>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</si>
  <si>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</si>
  <si>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</si>
  <si>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</si>
  <si>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</si>
  <si>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</si>
  <si>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</si>
  <si>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</si>
  <si>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</si>
  <si>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</si>
  <si>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</si>
  <si>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</si>
  <si>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</si>
  <si>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</si>
  <si>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</si>
  <si>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</si>
  <si>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</si>
  <si>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</si>
  <si>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</si>
  <si>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</si>
  <si>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</si>
  <si>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</si>
  <si>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</si>
  <si>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</si>
  <si>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</si>
  <si>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</si>
  <si>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</si>
  <si>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</si>
  <si>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</si>
  <si>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</si>
  <si>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</si>
  <si>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</si>
  <si>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</si>
  <si>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</si>
  <si>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</si>
  <si>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</si>
  <si>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</si>
  <si>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</si>
  <si>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</si>
  <si>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</si>
  <si>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</si>
  <si>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</si>
  <si>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</si>
  <si>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</si>
  <si>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</si>
  <si>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</si>
  <si>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</si>
  <si>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</si>
  <si>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</si>
  <si>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</si>
  <si>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</si>
  <si>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</si>
  <si>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</si>
  <si>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</si>
  <si>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</si>
  <si>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</si>
  <si>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</si>
  <si>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</si>
  <si>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</si>
  <si>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</si>
  <si>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</si>
  <si>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</si>
  <si>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</si>
  <si>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</si>
  <si>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</si>
  <si>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</si>
  <si>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</si>
  <si>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</si>
  <si>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</si>
  <si>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</si>
  <si>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</si>
  <si>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</si>
  <si>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</si>
  <si>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</si>
  <si>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</si>
  <si>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</si>
  <si>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</si>
  <si>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</si>
  <si>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</si>
  <si>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</si>
  <si>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</si>
  <si>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</si>
  <si>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</si>
  <si>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</si>
  <si>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</si>
  <si>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</si>
  <si>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</si>
  <si>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</si>
  <si>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</si>
  <si>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</si>
  <si>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</si>
  <si>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</si>
  <si>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</si>
  <si>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</si>
  <si>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</si>
  <si>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</si>
  <si>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</si>
  <si>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</si>
  <si>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</si>
  <si>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</si>
  <si>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</si>
  <si>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</si>
  <si>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</si>
  <si>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</si>
  <si>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</si>
  <si>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</si>
  <si>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</si>
  <si>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</si>
  <si>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</si>
  <si>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</si>
  <si>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</si>
  <si>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</si>
  <si>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</si>
  <si>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</si>
  <si>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</si>
  <si>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</si>
  <si>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</si>
  <si>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</si>
  <si>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</si>
  <si>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</si>
  <si>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</si>
  <si>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</si>
  <si>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</si>
  <si>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</si>
  <si>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</si>
  <si>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</si>
  <si>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</si>
  <si>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</si>
  <si>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</si>
  <si>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</si>
  <si>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</si>
  <si>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</si>
  <si>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</si>
  <si>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</si>
  <si>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</si>
  <si>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</si>
  <si>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</si>
  <si>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</si>
  <si>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</si>
  <si>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</si>
  <si>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</si>
  <si>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</si>
  <si>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</si>
  <si>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</si>
  <si>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</si>
  <si>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</si>
  <si>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</si>
  <si>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</si>
  <si>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</si>
  <si>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</si>
  <si>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</si>
  <si>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</si>
  <si>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</si>
  <si>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</si>
  <si>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</si>
  <si>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</si>
  <si>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</si>
  <si>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</si>
  <si>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</si>
  <si>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</si>
  <si>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</si>
  <si>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</si>
  <si>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</si>
  <si>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</si>
  <si>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</si>
  <si>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</si>
  <si>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</si>
  <si>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</si>
  <si>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</si>
  <si>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</si>
  <si>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</si>
  <si>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</si>
  <si>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</si>
  <si>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</si>
  <si>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</si>
  <si>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</si>
  <si>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</si>
  <si>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</si>
  <si>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</si>
  <si>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</si>
  <si>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</si>
  <si>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</si>
  <si>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</si>
  <si>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</si>
  <si>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</si>
  <si>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</si>
  <si>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</si>
  <si>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</si>
  <si>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</si>
  <si>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</si>
  <si>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</si>
  <si>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</si>
  <si>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</si>
  <si>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</si>
  <si>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</si>
  <si>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</si>
  <si>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</si>
  <si>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</si>
  <si>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</si>
  <si>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</si>
  <si>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</si>
  <si>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</si>
  <si>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</si>
  <si>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</si>
  <si>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</si>
  <si>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</si>
  <si>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</si>
  <si>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</si>
  <si>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</si>
  <si>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</si>
  <si>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</si>
  <si>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</si>
  <si>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</si>
  <si>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</si>
  <si>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</si>
  <si>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</si>
  <si>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</si>
  <si>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</si>
  <si>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</si>
  <si>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</si>
  <si>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</si>
  <si>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</si>
  <si>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</si>
  <si>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</si>
  <si>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</si>
  <si>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</si>
  <si>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</si>
  <si>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</si>
  <si>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</si>
  <si>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</si>
  <si>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</si>
  <si>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</si>
  <si>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</si>
  <si>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</si>
  <si>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</si>
  <si>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</si>
  <si>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</si>
  <si>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</si>
  <si>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</si>
  <si>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</si>
  <si>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</si>
  <si>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</si>
  <si>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</si>
  <si>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</si>
  <si>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</si>
  <si>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</si>
  <si>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</si>
  <si>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</si>
  <si>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</si>
  <si>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</si>
  <si>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</si>
  <si>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</si>
  <si>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</si>
  <si>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</si>
  <si>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</si>
  <si>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</si>
  <si>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</si>
  <si>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</si>
  <si>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</si>
  <si>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</si>
  <si>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</si>
  <si>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</si>
  <si>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</si>
  <si>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</si>
  <si>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</si>
  <si>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</si>
  <si>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</si>
  <si>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</si>
  <si>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</si>
  <si>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</si>
  <si>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</si>
  <si>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</si>
  <si>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</si>
  <si>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</si>
  <si>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</si>
  <si>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</si>
  <si>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</si>
  <si>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</si>
  <si>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</si>
  <si>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</si>
  <si>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</si>
  <si>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</si>
  <si>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</si>
  <si>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</si>
  <si>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</si>
  <si>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</si>
  <si>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</si>
  <si>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</si>
  <si>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</si>
  <si>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</si>
  <si>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</si>
  <si>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</si>
  <si>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</si>
  <si>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</si>
  <si>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</si>
  <si>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</si>
  <si>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</si>
  <si>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</si>
  <si>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</si>
  <si>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</si>
  <si>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</si>
  <si>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</si>
  <si>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</si>
  <si>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</si>
  <si>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</si>
  <si>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</si>
  <si>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</si>
  <si>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</si>
  <si>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</si>
  <si>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</si>
  <si>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</si>
  <si>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</si>
  <si>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</si>
  <si>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</si>
  <si>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</si>
  <si>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</si>
  <si>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</si>
  <si>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</si>
  <si>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</si>
  <si>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</si>
  <si>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</si>
  <si>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</si>
  <si>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</si>
  <si>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</si>
  <si>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</si>
  <si>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</si>
  <si>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</si>
  <si>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</si>
  <si>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</si>
  <si>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</si>
  <si>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</si>
  <si>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</si>
  <si>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</si>
  <si>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</si>
  <si>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</si>
  <si>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</si>
  <si>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</si>
  <si>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</si>
  <si>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</si>
  <si>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</si>
  <si>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</si>
  <si>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</si>
  <si>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</si>
  <si>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</si>
  <si>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</si>
  <si>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</si>
  <si>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</si>
  <si>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</si>
  <si>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</si>
  <si>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</si>
  <si>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</si>
  <si>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</si>
  <si>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</si>
  <si>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</si>
  <si>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</si>
  <si>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</si>
  <si>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</si>
  <si>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</si>
  <si>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</si>
  <si>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</si>
  <si>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</si>
  <si>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</si>
  <si>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</si>
  <si>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</si>
  <si>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</si>
  <si>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</si>
  <si>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</si>
  <si>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</si>
  <si>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</si>
  <si>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</si>
  <si>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</si>
  <si>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</si>
  <si>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</si>
  <si>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</si>
  <si>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</si>
  <si>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</si>
  <si>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</si>
  <si>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</si>
  <si>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</si>
  <si>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</si>
  <si>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</si>
  <si>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</si>
  <si>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</si>
  <si>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</si>
  <si>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</si>
  <si>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</si>
  <si>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</si>
  <si>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</si>
  <si>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</si>
  <si>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</si>
  <si>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</si>
  <si>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</si>
  <si>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</si>
  <si>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</si>
  <si>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</si>
  <si>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</si>
  <si>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</si>
  <si>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</si>
  <si>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</si>
  <si>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</si>
  <si>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</si>
  <si>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</si>
  <si>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</si>
  <si>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</si>
  <si>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</si>
  <si>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</si>
  <si>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</si>
  <si>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</si>
  <si>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</si>
  <si>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</si>
  <si>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</si>
  <si>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</si>
  <si>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</si>
  <si>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</si>
  <si>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</si>
  <si>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</si>
  <si>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</si>
  <si>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</si>
  <si>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</si>
  <si>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</si>
  <si>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</si>
  <si>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</si>
  <si>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</si>
  <si>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</si>
  <si>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</si>
  <si>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</si>
  <si>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</si>
  <si>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</si>
  <si>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</si>
  <si>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</si>
  <si>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</si>
  <si>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</si>
  <si>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</si>
  <si>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</si>
  <si>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</si>
  <si>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</si>
  <si>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</si>
  <si>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</si>
  <si>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</si>
  <si>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</si>
  <si>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</si>
  <si>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</si>
  <si>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</si>
  <si>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</si>
  <si>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</si>
  <si>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</si>
  <si>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</si>
  <si>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</si>
  <si>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</si>
  <si>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</si>
  <si>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</si>
  <si>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</si>
  <si>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</si>
  <si>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</si>
  <si>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</si>
  <si>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</si>
  <si>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</si>
  <si>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</si>
  <si>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</si>
  <si>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</si>
  <si>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</si>
  <si>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</si>
  <si>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</si>
  <si>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</si>
  <si>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</si>
  <si>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</si>
  <si>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</si>
  <si>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</si>
  <si>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</si>
  <si>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</si>
  <si>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</si>
  <si>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</si>
  <si>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</si>
  <si>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</si>
  <si>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</si>
  <si>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</si>
  <si>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</si>
  <si>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</si>
  <si>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</si>
  <si>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</si>
  <si>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</si>
  <si>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</si>
  <si>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</si>
  <si>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</si>
  <si>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</si>
  <si>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</si>
  <si>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</si>
  <si>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</si>
  <si>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</si>
  <si>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</si>
  <si>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</si>
  <si>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</si>
  <si>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</si>
  <si>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</si>
  <si>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</si>
  <si>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</si>
  <si>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</si>
  <si>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</si>
  <si>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</si>
  <si>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</si>
  <si>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</si>
  <si>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</si>
  <si>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</si>
  <si>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</si>
  <si>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</si>
  <si>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</si>
  <si>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</si>
  <si>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</si>
  <si>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</si>
  <si>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</si>
  <si>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</si>
  <si>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</si>
  <si>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</si>
  <si>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</si>
  <si>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</si>
  <si>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</si>
  <si>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</si>
  <si>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</si>
  <si>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</si>
  <si>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</si>
  <si>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</si>
  <si>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</si>
  <si>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</si>
  <si>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</si>
  <si>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</si>
  <si>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</si>
  <si>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</si>
  <si>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</si>
  <si>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</si>
  <si>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</si>
  <si>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</si>
  <si>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</si>
  <si>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</si>
  <si>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</si>
  <si>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</si>
  <si>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</si>
  <si>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</si>
  <si>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</si>
  <si>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</si>
  <si>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</si>
  <si>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</si>
  <si>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</si>
  <si>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</si>
  <si>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</si>
  <si>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</si>
  <si>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</si>
  <si>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</si>
  <si>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</si>
  <si>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</si>
  <si>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</si>
  <si>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</si>
  <si>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</si>
  <si>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</si>
  <si>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</si>
  <si>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</si>
  <si>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</si>
  <si>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</si>
  <si>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</si>
  <si>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</si>
  <si>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</si>
  <si>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</si>
  <si>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</si>
  <si>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</si>
  <si>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</si>
  <si>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</si>
  <si>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</si>
  <si>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</si>
  <si>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</si>
  <si>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</si>
  <si>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</si>
  <si>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</si>
  <si>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</si>
  <si>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</si>
  <si>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</si>
  <si>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</si>
  <si>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</si>
  <si>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</si>
  <si>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</si>
  <si>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</si>
  <si>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</si>
  <si>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</si>
  <si>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</si>
  <si>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</si>
  <si>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</si>
  <si>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</si>
  <si>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</si>
  <si>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</si>
  <si>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</si>
  <si>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</si>
  <si>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</si>
  <si>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</si>
  <si>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</si>
  <si>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</si>
  <si>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</si>
  <si>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</si>
  <si>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</si>
  <si>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</si>
  <si>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</si>
  <si>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</si>
  <si>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</si>
  <si>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</si>
  <si>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</si>
  <si>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</si>
  <si>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</si>
  <si>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</si>
  <si>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</si>
  <si>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</si>
  <si>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</si>
  <si>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</si>
  <si>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</si>
  <si>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</si>
  <si>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</si>
  <si>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</si>
  <si>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</si>
  <si>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</si>
  <si>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</si>
  <si>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</si>
  <si>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</si>
  <si>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</si>
  <si>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</si>
  <si>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</si>
  <si>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</si>
  <si>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</si>
  <si>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</si>
  <si>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</si>
  <si>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</si>
  <si>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</si>
  <si>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</si>
  <si>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</si>
  <si>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</si>
  <si>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</si>
  <si>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</si>
  <si>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</si>
  <si>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</si>
  <si>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</si>
  <si>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</si>
  <si>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</si>
  <si>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</si>
  <si>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</si>
  <si>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</si>
  <si>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</si>
  <si>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</si>
  <si>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</si>
  <si>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</si>
  <si>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</si>
  <si>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</si>
  <si>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</si>
  <si>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</si>
  <si>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</si>
  <si>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</si>
  <si>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</si>
  <si>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</si>
  <si>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</si>
  <si>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</si>
  <si>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</si>
  <si>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</si>
  <si>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</si>
  <si>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</si>
  <si>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</si>
  <si>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</si>
  <si>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</si>
  <si>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</si>
  <si>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</si>
  <si>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</si>
  <si>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</si>
  <si>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</si>
  <si>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</si>
  <si>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</si>
  <si>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</si>
  <si>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</si>
  <si>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</si>
  <si>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</si>
  <si>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</si>
  <si>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</si>
  <si>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</si>
  <si>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</si>
  <si>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</si>
  <si>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</si>
  <si>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</si>
  <si>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</si>
  <si>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</si>
  <si>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</si>
  <si>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</si>
  <si>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</si>
  <si>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</si>
  <si>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</si>
  <si>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</si>
  <si>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</si>
  <si>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</si>
  <si>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</si>
  <si>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</si>
  <si>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</si>
  <si>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</si>
  <si>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</si>
  <si>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</si>
  <si>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</si>
  <si>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</si>
  <si>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</si>
  <si>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</si>
  <si>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</si>
  <si>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</si>
  <si>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</si>
  <si>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</si>
  <si>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</si>
  <si>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</si>
  <si>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</si>
  <si>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</si>
  <si>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</si>
  <si>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</si>
  <si>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</si>
  <si>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</si>
  <si>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</si>
  <si>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</si>
  <si>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</si>
  <si>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</si>
  <si>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</si>
  <si>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</si>
  <si>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</si>
  <si>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</si>
  <si>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</si>
  <si>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</si>
  <si>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</si>
  <si>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</si>
  <si>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</si>
  <si>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</si>
  <si>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</si>
  <si>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</si>
  <si>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</si>
  <si>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</si>
  <si>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</si>
  <si>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</si>
  <si>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</si>
  <si>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</si>
  <si>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</si>
  <si>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</si>
  <si>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</si>
  <si>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</si>
  <si>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</si>
  <si>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</si>
  <si>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</si>
  <si>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</si>
  <si>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</si>
  <si>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</si>
  <si>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</si>
  <si>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</si>
  <si>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</si>
  <si>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</si>
  <si>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</si>
  <si>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</si>
  <si>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</si>
  <si>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</si>
  <si>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</si>
  <si>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</si>
  <si>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</si>
  <si>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</si>
  <si>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</si>
  <si>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</si>
  <si>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</si>
  <si>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</si>
  <si>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</si>
  <si>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</si>
  <si>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</si>
  <si>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</si>
  <si>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</si>
  <si>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</si>
  <si>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</si>
  <si>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</si>
  <si>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</si>
  <si>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</si>
  <si>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</si>
  <si>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</si>
  <si>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</si>
  <si>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</si>
  <si>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</si>
  <si>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</si>
  <si>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</si>
  <si>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</si>
  <si>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</si>
  <si>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</si>
  <si>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</si>
  <si>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</si>
  <si>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</si>
  <si>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</si>
  <si>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</si>
  <si>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</si>
  <si>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</si>
  <si>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</si>
  <si>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</si>
  <si>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</si>
  <si>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</si>
  <si>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</si>
  <si>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</si>
  <si>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</si>
  <si>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</si>
  <si>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</si>
  <si>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</si>
  <si>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</si>
  <si>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</si>
  <si>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</si>
  <si>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</si>
  <si>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</si>
  <si>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</si>
  <si>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</si>
  <si>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</si>
  <si>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</si>
  <si>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</si>
  <si>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</si>
  <si>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</si>
  <si>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</si>
  <si>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</si>
  <si>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</si>
  <si>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</si>
  <si>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</si>
  <si>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</si>
  <si>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</si>
  <si>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</si>
  <si>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</si>
  <si>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</si>
  <si>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</si>
  <si>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</si>
  <si>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</si>
  <si>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</si>
  <si>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</si>
  <si>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</si>
  <si>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</si>
  <si>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</si>
  <si>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</si>
  <si>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</si>
  <si>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</si>
  <si>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</si>
  <si>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</si>
  <si>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</si>
  <si>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</si>
  <si>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</si>
  <si>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</si>
  <si>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</si>
  <si>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</si>
  <si>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</si>
  <si>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</si>
  <si>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</si>
  <si>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</si>
  <si>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</si>
  <si>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</si>
  <si>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</si>
  <si>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</si>
  <si>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</si>
  <si>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</si>
  <si>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</si>
  <si>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</si>
  <si>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</si>
  <si>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</si>
  <si>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</si>
  <si>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</si>
  <si>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</si>
  <si>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</si>
  <si>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</si>
  <si>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</si>
  <si>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</si>
  <si>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</si>
  <si>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</si>
  <si>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</si>
  <si>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</si>
  <si>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</si>
  <si>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</si>
  <si>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</si>
  <si>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</si>
  <si>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</si>
  <si>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</si>
  <si>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</si>
  <si>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</si>
  <si>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</si>
  <si>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</si>
  <si>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</si>
  <si>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</si>
  <si>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</si>
  <si>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</si>
  <si>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</si>
  <si>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</si>
  <si>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</si>
  <si>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</si>
  <si>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</si>
  <si>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</si>
  <si>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</si>
  <si>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</si>
  <si>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</si>
  <si>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</si>
  <si>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</si>
  <si>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</si>
  <si>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</si>
  <si>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</si>
  <si>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</si>
  <si>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</si>
  <si>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</si>
  <si>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</si>
  <si>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</si>
  <si>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</si>
  <si>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</si>
  <si>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</si>
  <si>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</si>
  <si>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</si>
  <si>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</si>
  <si>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</si>
  <si>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</si>
  <si>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</si>
  <si>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</si>
  <si>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</si>
  <si>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</si>
  <si>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</si>
  <si>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</si>
  <si>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</si>
  <si>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</si>
  <si>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</si>
  <si>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</si>
  <si>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</si>
  <si>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</si>
  <si>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</si>
  <si>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</si>
  <si>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</si>
  <si>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</si>
  <si>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</si>
  <si>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</si>
  <si>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</si>
  <si>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</si>
  <si>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</si>
  <si>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</si>
  <si>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</si>
  <si>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</si>
  <si>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</si>
  <si>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</si>
  <si>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</si>
  <si>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</si>
  <si>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</si>
  <si>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</si>
  <si>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</si>
  <si>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</si>
  <si>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</si>
  <si>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</si>
  <si>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</si>
  <si>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</si>
  <si>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</si>
  <si>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</si>
  <si>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</si>
  <si>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</si>
  <si>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</si>
  <si>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</si>
  <si>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</si>
  <si>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</si>
  <si>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</si>
  <si>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</si>
  <si>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</si>
  <si>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</si>
  <si>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</si>
  <si>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</si>
  <si>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</si>
  <si>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</si>
  <si>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</si>
  <si>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</si>
  <si>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</si>
  <si>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</si>
  <si>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</si>
  <si>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</si>
  <si>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</si>
  <si>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</si>
  <si>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</si>
  <si>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</si>
  <si>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</si>
  <si>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</si>
  <si>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</si>
  <si>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</si>
  <si>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</si>
  <si>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</si>
  <si>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</si>
  <si>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</si>
  <si>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</si>
  <si>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</si>
  <si>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</si>
  <si>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</si>
  <si>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</si>
  <si>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</si>
  <si>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</si>
  <si>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</si>
  <si>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</si>
  <si>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</si>
  <si>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</si>
  <si>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</si>
  <si>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</si>
  <si>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</si>
  <si>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</si>
  <si>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</si>
  <si>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</si>
  <si>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</si>
  <si>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</si>
  <si>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</si>
  <si>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</si>
  <si>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</si>
  <si>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</si>
  <si>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</si>
  <si>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</si>
  <si>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</si>
  <si>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</si>
  <si>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</si>
  <si>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</si>
  <si>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</si>
  <si>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</si>
  <si>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</si>
  <si>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</si>
  <si>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</si>
  <si>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</si>
  <si>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</si>
  <si>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</si>
  <si>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</si>
  <si>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</si>
  <si>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</si>
  <si>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</si>
  <si>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</si>
  <si>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</si>
  <si>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</si>
  <si>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</si>
  <si>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</si>
  <si>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</si>
  <si>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</si>
  <si>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</si>
  <si>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</si>
  <si>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</si>
  <si>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</si>
  <si>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</si>
  <si>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</si>
  <si>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</si>
  <si>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</si>
  <si>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</si>
  <si>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</si>
  <si>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</si>
  <si>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</si>
  <si>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</si>
  <si>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</si>
  <si>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</si>
  <si>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</si>
  <si>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</si>
  <si>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</si>
  <si>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</si>
  <si>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</si>
  <si>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</si>
  <si>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</si>
  <si>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</si>
  <si>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</si>
  <si>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</si>
  <si>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</si>
  <si>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</si>
  <si>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</si>
  <si>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</si>
  <si>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</si>
  <si>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</si>
  <si>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</si>
  <si>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</si>
  <si>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</si>
  <si>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</si>
  <si>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</si>
  <si>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</si>
  <si>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</si>
  <si>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</si>
  <si>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</si>
  <si>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</si>
  <si>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</si>
  <si>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</si>
  <si>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</si>
  <si>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</si>
  <si>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</si>
  <si>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</si>
  <si>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</si>
  <si>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</si>
  <si>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</si>
  <si>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</si>
  <si>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</si>
  <si>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</si>
  <si>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</si>
  <si>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</si>
  <si>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</si>
  <si>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</si>
  <si>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</si>
  <si>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</si>
  <si>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</si>
  <si>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</si>
  <si>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</si>
  <si>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</si>
  <si>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</si>
  <si>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</si>
  <si>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</si>
  <si>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</si>
  <si>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</si>
  <si>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</si>
  <si>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</si>
  <si>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</si>
  <si>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</si>
  <si>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</si>
  <si>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</si>
  <si>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</si>
  <si>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</si>
  <si>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</si>
  <si>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</si>
  <si>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</si>
  <si>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</si>
  <si>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</si>
  <si>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</si>
  <si>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</si>
  <si>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</si>
  <si>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</si>
  <si>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</si>
  <si>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</si>
  <si>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</si>
  <si>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</si>
  <si>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</si>
  <si>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</si>
  <si>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</si>
  <si>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</si>
  <si>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</si>
  <si>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</si>
  <si>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</si>
  <si>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</si>
  <si>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</si>
  <si>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</si>
  <si>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</si>
  <si>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</si>
  <si>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</si>
  <si>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</si>
  <si>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</si>
  <si>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</si>
  <si>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</si>
  <si>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</si>
  <si>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</si>
  <si>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</si>
  <si>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</si>
  <si>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</si>
  <si>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</si>
  <si>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</si>
  <si>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</si>
  <si>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</si>
  <si>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</si>
  <si>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</si>
  <si>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</si>
  <si>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</si>
  <si>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</si>
  <si>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</si>
  <si>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</si>
  <si>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</si>
  <si>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</si>
  <si>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</si>
  <si>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</si>
  <si>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</si>
  <si>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</si>
  <si>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</si>
  <si>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</si>
  <si>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</si>
  <si>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</si>
  <si>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</si>
  <si>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</si>
  <si>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</si>
  <si>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</si>
  <si>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</si>
  <si>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</si>
  <si>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</si>
  <si>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</si>
  <si>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</si>
  <si>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</si>
  <si>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</si>
  <si>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</si>
  <si>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</si>
  <si>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</si>
  <si>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</si>
  <si>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</si>
  <si>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</si>
  <si>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</si>
  <si>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</si>
  <si>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</si>
  <si>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</si>
  <si>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</si>
  <si>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</si>
  <si>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</si>
  <si>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</si>
  <si>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</si>
  <si>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</si>
  <si>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</si>
  <si>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</si>
  <si>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</si>
  <si>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</si>
  <si>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</si>
  <si>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</si>
  <si>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</si>
  <si>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</si>
  <si>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</si>
  <si>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</si>
  <si>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</si>
  <si>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</si>
  <si>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</si>
  <si>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</si>
  <si>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</si>
  <si>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</si>
  <si>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</si>
  <si>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</si>
  <si>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</si>
  <si>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</si>
  <si>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</si>
  <si>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</si>
  <si>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</si>
  <si>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</si>
  <si>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</si>
  <si>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</si>
  <si>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</si>
  <si>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</si>
  <si>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</si>
  <si>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</si>
  <si>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</si>
  <si>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</si>
  <si>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</si>
  <si>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</si>
  <si>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</si>
  <si>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</si>
  <si>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</si>
  <si>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</si>
  <si>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</si>
  <si>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</si>
  <si>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</si>
  <si>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</si>
  <si>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</si>
  <si>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</si>
  <si>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</si>
  <si>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</si>
  <si>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</si>
  <si>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</si>
  <si>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</si>
  <si>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</si>
  <si>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</si>
  <si>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</si>
  <si>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</si>
  <si>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</si>
  <si>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</si>
  <si>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</si>
  <si>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</si>
  <si>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</si>
  <si>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</si>
  <si>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</si>
  <si>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</si>
  <si>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</si>
  <si>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</si>
  <si>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</si>
  <si>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</si>
  <si>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</si>
  <si>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</si>
  <si>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</si>
  <si>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</si>
  <si>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</si>
  <si>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</si>
  <si>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</si>
  <si>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</si>
  <si>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</si>
  <si>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</si>
  <si>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</si>
  <si>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</si>
  <si>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</si>
  <si>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</si>
  <si>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</si>
  <si>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</si>
  <si>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</si>
  <si>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</si>
  <si>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</si>
  <si>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</si>
  <si>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</si>
  <si>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</si>
  <si>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</si>
  <si>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</si>
  <si>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</si>
  <si>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</si>
  <si>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</si>
  <si>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</si>
  <si>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</si>
  <si>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</si>
  <si>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</si>
  <si>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</si>
  <si>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</si>
  <si>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</si>
  <si>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</si>
  <si>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</si>
  <si>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</si>
  <si>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</si>
  <si>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</si>
  <si>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</si>
  <si>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</si>
  <si>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</si>
  <si>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</si>
  <si>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</si>
  <si>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</si>
  <si>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</si>
  <si>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</si>
  <si>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</si>
  <si>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</si>
  <si>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</si>
  <si>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</si>
  <si>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</si>
  <si>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</si>
  <si>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</si>
  <si>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</si>
  <si>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</si>
  <si>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</si>
  <si>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</si>
  <si>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</si>
  <si>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</si>
  <si>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</si>
  <si>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</si>
  <si>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</si>
  <si>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</si>
  <si>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</si>
  <si>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</si>
  <si>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</si>
  <si>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</si>
  <si>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</si>
  <si>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</si>
  <si>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</si>
  <si>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</si>
  <si>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</si>
  <si>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</si>
  <si>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</si>
  <si>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</si>
  <si>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</si>
  <si>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</si>
  <si>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</si>
  <si>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</si>
  <si>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</si>
  <si>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</si>
  <si>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</si>
  <si>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</si>
  <si>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</si>
  <si>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</si>
  <si>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</si>
  <si>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</si>
  <si>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</si>
  <si>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</si>
  <si>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</si>
  <si>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</si>
  <si>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</si>
  <si>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</si>
  <si>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</si>
  <si>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</si>
  <si>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</si>
  <si>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</si>
  <si>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</si>
  <si>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</si>
  <si>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</si>
  <si>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</si>
  <si>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</si>
  <si>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</si>
  <si>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</si>
  <si>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</si>
  <si>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</si>
  <si>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</si>
  <si>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</si>
  <si>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</si>
  <si>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</si>
  <si>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</si>
  <si>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</si>
  <si>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</si>
  <si>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</si>
  <si>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</si>
  <si>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</si>
  <si>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</si>
  <si>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</si>
  <si>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</si>
  <si>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</si>
  <si>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</si>
  <si>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</si>
  <si>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</si>
  <si>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</si>
  <si>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</si>
  <si>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</si>
  <si>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</si>
  <si>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</si>
  <si>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</si>
  <si>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</si>
  <si>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</si>
  <si>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</si>
  <si>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</si>
  <si>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</si>
  <si>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</si>
  <si>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</si>
  <si>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</si>
  <si>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</si>
  <si>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</si>
  <si>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</si>
  <si>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</si>
  <si>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</si>
  <si>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</si>
  <si>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</si>
  <si>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</si>
  <si>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</si>
  <si>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</si>
  <si>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</si>
  <si>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</si>
  <si>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</si>
  <si>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</si>
  <si>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</si>
  <si>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</si>
  <si>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</si>
  <si>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</si>
  <si>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</si>
  <si>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</si>
  <si>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</si>
  <si>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</si>
  <si>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</si>
  <si>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</si>
  <si>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</si>
  <si>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</si>
  <si>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</si>
  <si>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</si>
  <si>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</si>
  <si>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</si>
  <si>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</si>
  <si>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</si>
  <si>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</si>
  <si>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</si>
  <si>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</si>
  <si>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</si>
  <si>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</si>
  <si>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</si>
  <si>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</si>
  <si>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</si>
  <si>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</si>
  <si>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</si>
  <si>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</si>
  <si>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</si>
  <si>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</si>
  <si>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</si>
  <si>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</si>
  <si>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</si>
  <si>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</si>
  <si>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</si>
  <si>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</si>
  <si>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</si>
  <si>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</si>
  <si>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</si>
  <si>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</si>
  <si>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</si>
  <si>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</si>
  <si>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</si>
  <si>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</si>
  <si>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</si>
  <si>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</si>
  <si>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</si>
  <si>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</si>
  <si>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</si>
  <si>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</si>
  <si>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</si>
  <si>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</si>
  <si>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</si>
  <si>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</si>
  <si>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</si>
  <si>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</si>
  <si>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</si>
  <si>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</si>
  <si>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</si>
  <si>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</si>
  <si>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</si>
  <si>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</si>
  <si>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</si>
  <si>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</si>
  <si>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</si>
  <si>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</si>
  <si>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</si>
  <si>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</si>
  <si>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</si>
  <si>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</si>
  <si>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</si>
  <si>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</si>
  <si>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</si>
  <si>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</si>
  <si>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</si>
  <si>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</si>
  <si>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</si>
  <si>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</si>
  <si>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</si>
  <si>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</si>
  <si>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</si>
  <si>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</si>
  <si>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</si>
  <si>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</si>
  <si>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</si>
  <si>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</si>
  <si>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</si>
  <si>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</si>
  <si>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</si>
  <si>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</si>
  <si>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</si>
  <si>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</si>
  <si>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</si>
  <si>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</si>
  <si>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</si>
  <si>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</si>
  <si>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</si>
  <si>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</si>
  <si>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</si>
  <si>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</si>
  <si>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</si>
  <si>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</si>
  <si>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</si>
  <si>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</si>
  <si>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</si>
  <si>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</si>
  <si>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</si>
  <si>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</si>
  <si>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</si>
  <si>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</si>
  <si>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</si>
  <si>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</si>
  <si>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</si>
  <si>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</si>
  <si>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</si>
  <si>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</si>
  <si>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</si>
  <si>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</si>
  <si>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</si>
  <si>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</si>
  <si>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</si>
  <si>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</si>
  <si>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</si>
  <si>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</si>
  <si>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</si>
  <si>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</si>
  <si>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</si>
  <si>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</si>
  <si>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</si>
  <si>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</si>
  <si>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</si>
  <si>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</si>
  <si>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</si>
  <si>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</si>
  <si>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</si>
  <si>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</si>
  <si>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</si>
  <si>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</si>
  <si>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</si>
  <si>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</si>
  <si>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</si>
  <si>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</si>
  <si>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</si>
  <si>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</si>
  <si>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</si>
  <si>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</si>
  <si>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</si>
  <si>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</si>
  <si>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</si>
  <si>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</si>
  <si>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</si>
  <si>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</si>
  <si>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</si>
  <si>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</si>
  <si>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</si>
  <si>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</si>
  <si>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</si>
  <si>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</si>
  <si>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</si>
  <si>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</si>
  <si>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</si>
  <si>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</si>
  <si>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</si>
  <si>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</si>
  <si>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</si>
  <si>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</si>
  <si>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</si>
  <si>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</si>
  <si>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</si>
  <si>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</si>
  <si>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</si>
  <si>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</si>
  <si>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</si>
  <si>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</si>
  <si>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</si>
  <si>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</si>
  <si>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</si>
  <si>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</si>
  <si>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</si>
  <si>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</si>
  <si>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</si>
  <si>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</si>
  <si>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</si>
  <si>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</si>
  <si>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</si>
  <si>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</si>
  <si>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</si>
  <si>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</si>
  <si>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</si>
  <si>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</si>
  <si>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</si>
  <si>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</si>
  <si>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</si>
  <si>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</si>
  <si>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</si>
  <si>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</si>
  <si>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</si>
  <si>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</si>
  <si>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</si>
  <si>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</si>
  <si>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</si>
  <si>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</si>
  <si>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</si>
  <si>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</si>
  <si>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</si>
  <si>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</si>
  <si>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</si>
  <si>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</si>
  <si>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</si>
  <si>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</si>
  <si>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</si>
  <si>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</si>
  <si>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</si>
  <si>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</si>
  <si>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</si>
  <si>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</si>
  <si>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</si>
  <si>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</si>
  <si>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</si>
  <si>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</si>
  <si>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</si>
  <si>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</si>
  <si>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</si>
  <si>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</si>
  <si>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</si>
  <si>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</si>
  <si>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</si>
  <si>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</si>
  <si>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</si>
  <si>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</si>
  <si>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</si>
  <si>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</si>
  <si>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</si>
  <si>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</si>
  <si>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</si>
  <si>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</si>
  <si>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</si>
  <si>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</si>
  <si>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</si>
  <si>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</si>
  <si>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</si>
  <si>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</si>
  <si>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</si>
  <si>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</si>
  <si>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</si>
  <si>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</si>
  <si>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</si>
  <si>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</si>
  <si>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</si>
  <si>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</si>
  <si>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</si>
  <si>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</si>
  <si>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</si>
  <si>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</si>
  <si>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</si>
  <si>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</si>
  <si>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</si>
  <si>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</si>
  <si>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</si>
  <si>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</si>
  <si>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</si>
  <si>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</si>
  <si>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</si>
  <si>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</si>
  <si>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</si>
  <si>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</si>
  <si>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</si>
  <si>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</si>
  <si>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</si>
  <si>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</si>
  <si>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</si>
  <si>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</si>
  <si>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</si>
  <si>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</si>
  <si>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</si>
  <si>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</si>
  <si>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</si>
  <si>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</si>
  <si>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</si>
  <si>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</si>
  <si>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</si>
  <si>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</si>
  <si>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</si>
  <si>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</si>
  <si>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</si>
  <si>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</si>
  <si>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</si>
  <si>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</si>
  <si>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</si>
  <si>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</si>
  <si>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</si>
  <si>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</si>
  <si>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</si>
  <si>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</si>
  <si>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</si>
  <si>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</si>
  <si>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</si>
  <si>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</si>
  <si>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</si>
  <si>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</si>
  <si>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</si>
  <si>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</si>
  <si>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</si>
  <si>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</si>
  <si>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</si>
  <si>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</si>
  <si>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</si>
  <si>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</si>
  <si>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</si>
  <si>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</si>
  <si>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</si>
  <si>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</si>
  <si>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</si>
  <si>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</si>
  <si>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</si>
  <si>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</si>
  <si>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</si>
  <si>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</si>
  <si>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</si>
  <si>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</si>
  <si>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</si>
  <si>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</si>
  <si>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</si>
  <si>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</si>
  <si>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</si>
  <si>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</si>
  <si>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</si>
  <si>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</si>
  <si>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</si>
  <si>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</si>
  <si>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</si>
  <si>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</si>
  <si>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</si>
  <si>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</si>
  <si>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</si>
  <si>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</si>
  <si>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</si>
  <si>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</si>
  <si>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</si>
  <si>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</si>
  <si>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</si>
  <si>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</si>
  <si>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</si>
  <si>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</si>
  <si>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</si>
  <si>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</si>
  <si>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</si>
  <si>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</si>
  <si>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</si>
  <si>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</si>
  <si>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</si>
  <si>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</si>
  <si>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</si>
  <si>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</si>
  <si>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</si>
  <si>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</si>
  <si>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</si>
  <si>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</si>
  <si>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</si>
  <si>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</si>
  <si>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</si>
  <si>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</si>
  <si>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</si>
  <si>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</si>
  <si>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</si>
  <si>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</si>
  <si>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</si>
  <si>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</si>
  <si>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</si>
  <si>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</si>
  <si>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</si>
  <si>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</si>
  <si>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</si>
  <si>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</si>
  <si>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</si>
  <si>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</si>
  <si>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</si>
  <si>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</si>
  <si>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</si>
  <si>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</si>
  <si>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</si>
  <si>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</si>
  <si>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</si>
  <si>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</si>
  <si>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</si>
  <si>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</si>
  <si>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</si>
  <si>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</si>
  <si>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</si>
  <si>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</si>
  <si>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</si>
  <si>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</si>
  <si>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</si>
  <si>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</si>
  <si>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</si>
  <si>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</si>
  <si>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</si>
  <si>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</si>
  <si>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</si>
  <si>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</si>
  <si>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</si>
  <si>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</si>
  <si>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</si>
  <si>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</si>
  <si>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</si>
  <si>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</si>
  <si>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</si>
  <si>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</si>
  <si>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</si>
  <si>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</si>
  <si>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</si>
  <si>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</si>
  <si>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</si>
  <si>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</si>
  <si>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</si>
  <si>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</si>
  <si>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</si>
  <si>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</si>
  <si>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</si>
  <si>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</si>
  <si>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</si>
  <si>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</si>
  <si>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</si>
  <si>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</si>
  <si>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</si>
  <si>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</si>
  <si>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</si>
  <si>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</si>
  <si>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</si>
  <si>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</si>
  <si>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</si>
  <si>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</si>
  <si>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</si>
  <si>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</si>
  <si>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</si>
  <si>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</si>
  <si>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</si>
  <si>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</si>
  <si>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</si>
  <si>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</si>
  <si>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</si>
  <si>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</si>
  <si>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</si>
  <si>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</si>
  <si>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</si>
  <si>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</si>
  <si>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</si>
  <si>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</si>
  <si>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</si>
  <si>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</si>
  <si>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</si>
  <si>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</si>
  <si>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</si>
  <si>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</si>
  <si>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</si>
  <si>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</si>
  <si>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</si>
  <si>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</si>
  <si>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</si>
  <si>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</si>
  <si>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</si>
  <si>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</si>
  <si>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</si>
  <si>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</si>
  <si>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</si>
  <si>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</si>
  <si>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</si>
  <si>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</si>
  <si>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</si>
  <si>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</si>
  <si>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</si>
  <si>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</si>
  <si>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</si>
  <si>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</si>
  <si>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</si>
  <si>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</si>
  <si>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</si>
  <si>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</si>
  <si>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</si>
  <si>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</si>
  <si>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</si>
  <si>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</si>
  <si>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</si>
  <si>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</si>
  <si>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</si>
  <si>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</si>
  <si>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</si>
  <si>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</si>
  <si>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</si>
  <si>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</si>
  <si>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</si>
  <si>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</si>
  <si>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</si>
  <si>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</si>
  <si>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</si>
  <si>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</si>
  <si>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</si>
  <si>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</si>
  <si>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</si>
  <si>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</si>
  <si>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</si>
  <si>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</si>
  <si>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</si>
  <si>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</si>
  <si>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</si>
  <si>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</si>
  <si>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</si>
  <si>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</si>
  <si>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</si>
  <si>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</si>
  <si>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</si>
  <si>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</si>
  <si>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</si>
  <si>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</si>
  <si>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</si>
  <si>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</si>
  <si>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</si>
  <si>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</si>
  <si>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</si>
  <si>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</si>
  <si>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</si>
  <si>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</si>
  <si>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</si>
  <si>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</si>
  <si>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</si>
  <si>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</si>
  <si>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</si>
  <si>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</si>
  <si>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</si>
  <si>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</si>
  <si>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</si>
  <si>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</si>
  <si>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</si>
  <si>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</si>
  <si>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</si>
  <si>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</si>
  <si>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</si>
  <si>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</si>
  <si>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</si>
  <si>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</si>
  <si>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</si>
  <si>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</si>
  <si>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</si>
  <si>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</si>
  <si>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</si>
  <si>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</si>
  <si>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</si>
  <si>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</si>
  <si>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</si>
  <si>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</si>
  <si>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</si>
  <si>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</si>
  <si>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</si>
  <si>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</si>
  <si>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</si>
  <si>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</si>
  <si>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</si>
  <si>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</si>
  <si>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</si>
  <si>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</si>
  <si>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</si>
  <si>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</si>
  <si>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</si>
  <si>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</si>
  <si>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</si>
  <si>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</si>
  <si>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</si>
  <si>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</si>
  <si>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</si>
  <si>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</si>
  <si>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</si>
  <si>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</si>
  <si>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</si>
  <si>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</si>
  <si>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</si>
  <si>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</si>
  <si>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</si>
  <si>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</si>
  <si>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</si>
  <si>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</si>
  <si>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</si>
  <si>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</si>
  <si>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</si>
  <si>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</si>
  <si>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</si>
  <si>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</si>
  <si>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</si>
  <si>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</si>
  <si>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</si>
  <si>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</si>
  <si>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</si>
  <si>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</si>
  <si>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</si>
  <si>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</si>
  <si>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</si>
  <si>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</si>
  <si>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</si>
  <si>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</si>
  <si>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</si>
  <si>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</si>
  <si>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</si>
  <si>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</si>
  <si>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</si>
  <si>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</si>
  <si>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</si>
  <si>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</si>
  <si>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</si>
  <si>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</si>
  <si>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</si>
  <si>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</si>
  <si>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</si>
  <si>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</si>
  <si>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</si>
  <si>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</si>
  <si>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</si>
  <si>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</si>
  <si>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</si>
  <si>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</si>
  <si>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</si>
  <si>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</si>
  <si>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</si>
  <si>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</si>
  <si>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</si>
  <si>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</si>
  <si>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</si>
  <si>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</si>
  <si>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</si>
  <si>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</si>
  <si>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</si>
  <si>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</si>
  <si>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</si>
  <si>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</si>
  <si>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</si>
  <si>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</si>
  <si>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</si>
  <si>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</si>
  <si>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</si>
  <si>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</si>
  <si>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</si>
  <si>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</si>
  <si>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</si>
  <si>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</si>
  <si>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</si>
  <si>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</si>
  <si>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</si>
  <si>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</si>
  <si>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</si>
  <si>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</si>
  <si>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</si>
  <si>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</si>
  <si>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</si>
  <si>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</si>
  <si>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</si>
  <si>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</si>
  <si>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</si>
  <si>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</si>
  <si>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</si>
  <si>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</si>
  <si>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</si>
  <si>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</si>
  <si>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</si>
  <si>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</si>
  <si>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</si>
  <si>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</si>
  <si>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</si>
  <si>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</si>
  <si>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</si>
  <si>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</si>
  <si>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</si>
  <si>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</si>
  <si>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</si>
  <si>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</si>
  <si>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</si>
  <si>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</si>
  <si>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</si>
  <si>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</si>
  <si>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</si>
  <si>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</si>
  <si>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</si>
  <si>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</si>
  <si>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</si>
  <si>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</si>
  <si>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</si>
  <si>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</si>
  <si>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</si>
  <si>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</si>
  <si>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</si>
  <si>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</si>
  <si>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</si>
  <si>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</si>
  <si>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</si>
  <si>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</si>
  <si>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</si>
  <si>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</si>
  <si>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</si>
  <si>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</si>
  <si>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</si>
  <si>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</si>
  <si>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</si>
  <si>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</si>
  <si>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</si>
  <si>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</si>
  <si>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</si>
  <si>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</si>
  <si>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</si>
  <si>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</si>
  <si>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</si>
  <si>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</si>
  <si>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</si>
  <si>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</si>
  <si>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</si>
  <si>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</si>
  <si>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</si>
  <si>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</si>
  <si>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</si>
  <si>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</si>
  <si>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</si>
  <si>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</si>
  <si>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</si>
  <si>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</si>
  <si>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</si>
  <si>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</si>
  <si>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</si>
  <si>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</si>
  <si>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</si>
  <si>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</si>
  <si>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</si>
  <si>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</si>
  <si>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</si>
  <si>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</si>
  <si>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</si>
  <si>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</si>
  <si>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</si>
  <si>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</si>
  <si>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</si>
  <si>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</si>
  <si>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</si>
  <si>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</si>
  <si>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</si>
  <si>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</si>
  <si>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</si>
  <si>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</si>
  <si>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</si>
  <si>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</si>
  <si>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</si>
  <si>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</si>
  <si>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</si>
  <si>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</si>
  <si>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</si>
  <si>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</si>
  <si>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</si>
  <si>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</si>
  <si>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</si>
  <si>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</si>
  <si>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</si>
  <si>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</si>
  <si>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</si>
  <si>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</si>
  <si>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</si>
  <si>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</si>
  <si>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</si>
  <si>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</si>
  <si>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</si>
  <si>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</si>
  <si>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</si>
  <si>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</si>
  <si>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</si>
  <si>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</si>
  <si>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</si>
  <si>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</si>
  <si>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</si>
  <si>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</si>
  <si>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</si>
  <si>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</si>
  <si>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</si>
  <si>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</si>
  <si>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</si>
  <si>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</si>
  <si>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</si>
  <si>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</si>
  <si>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</si>
  <si>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</si>
  <si>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</si>
  <si>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</si>
  <si>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</si>
  <si>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</si>
  <si>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</si>
  <si>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</si>
  <si>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</si>
  <si>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</si>
  <si>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</si>
  <si>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</si>
  <si>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</si>
  <si>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</si>
  <si>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</si>
  <si>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</si>
  <si>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</si>
  <si>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</si>
  <si>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</si>
  <si>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</si>
  <si>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</si>
  <si>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</si>
  <si>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</si>
  <si>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</si>
  <si>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</si>
  <si>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</si>
  <si>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</si>
  <si>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</si>
  <si>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</si>
  <si>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</si>
  <si>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</si>
  <si>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</si>
  <si>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</si>
  <si>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</si>
  <si>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</si>
  <si>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</si>
  <si>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</si>
  <si>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</si>
  <si>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</si>
  <si>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</si>
  <si>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</si>
  <si>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</si>
  <si>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</si>
  <si>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</si>
  <si>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</si>
  <si>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</si>
  <si>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</si>
  <si>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</si>
  <si>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</si>
  <si>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</si>
  <si>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</si>
  <si>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</si>
  <si>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</si>
  <si>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</si>
  <si>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</si>
  <si>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</si>
  <si>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</si>
  <si>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</si>
  <si>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</si>
  <si>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</si>
  <si>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</si>
  <si>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</si>
  <si>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</si>
  <si>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</si>
  <si>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</si>
  <si>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</si>
  <si>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</si>
  <si>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</si>
  <si>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</si>
  <si>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</si>
  <si>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</si>
  <si>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</si>
  <si>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</si>
  <si>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</si>
  <si>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</si>
  <si>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</si>
  <si>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</si>
  <si>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</si>
  <si>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</si>
  <si>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</si>
  <si>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</si>
  <si>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</si>
  <si>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</si>
  <si>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</si>
  <si>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</si>
  <si>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</si>
  <si>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</si>
  <si>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</si>
  <si>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</si>
  <si>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</si>
  <si>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</si>
  <si>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</si>
  <si>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</si>
  <si>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</si>
  <si>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</si>
  <si>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</si>
  <si>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</si>
  <si>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</si>
  <si>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</si>
  <si>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</si>
  <si>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</si>
  <si>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</si>
  <si>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</si>
  <si>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</si>
  <si>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</si>
  <si>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</si>
  <si>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</si>
  <si>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</si>
  <si>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</si>
  <si>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</si>
  <si>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</si>
  <si>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</si>
  <si>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</si>
  <si>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</si>
  <si>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</si>
  <si>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</si>
  <si>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</si>
  <si>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</si>
  <si>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</si>
  <si>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</si>
  <si>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</si>
  <si>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</si>
  <si>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</si>
  <si>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</si>
  <si>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</si>
  <si>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</si>
  <si>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</si>
  <si>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</si>
  <si>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</si>
  <si>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</si>
  <si>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</si>
  <si>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</si>
  <si>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</si>
  <si>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</si>
  <si>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</si>
  <si>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</si>
  <si>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</si>
  <si>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</si>
  <si>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</si>
  <si>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</si>
  <si>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</si>
  <si>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</si>
  <si>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</si>
  <si>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</si>
  <si>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</si>
  <si>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</si>
  <si>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</si>
  <si>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</si>
  <si>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</si>
  <si>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</si>
  <si>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</si>
  <si>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</si>
  <si>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</si>
  <si>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</si>
  <si>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</si>
  <si>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</si>
  <si>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</si>
  <si>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</si>
  <si>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</si>
  <si>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</si>
  <si>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</si>
  <si>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</si>
  <si>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</si>
  <si>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</si>
  <si>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</si>
  <si>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</si>
  <si>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</si>
  <si>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</si>
  <si>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</si>
  <si>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</si>
  <si>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</si>
  <si>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</si>
  <si>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</si>
  <si>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</si>
  <si>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</si>
  <si>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</si>
  <si>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</si>
  <si>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</si>
  <si>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</si>
  <si>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</si>
  <si>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</si>
  <si>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</si>
  <si>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</si>
  <si>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</si>
  <si>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</si>
  <si>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</si>
  <si>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</si>
  <si>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</si>
  <si>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</si>
  <si>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</si>
  <si>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</si>
  <si>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</si>
  <si>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</si>
  <si>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</si>
  <si>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</si>
  <si>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</si>
  <si>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</si>
  <si>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</si>
  <si>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</si>
  <si>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</si>
  <si>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</si>
  <si>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</si>
  <si>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</si>
  <si>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</si>
  <si>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</si>
  <si>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</si>
  <si>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</si>
  <si>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</si>
  <si>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</si>
  <si>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</si>
  <si>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</si>
  <si>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</si>
  <si>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</si>
  <si>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</si>
  <si>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</si>
  <si>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</si>
  <si>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</si>
  <si>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</si>
  <si>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</si>
  <si>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</si>
  <si>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</si>
  <si>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</si>
  <si>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</si>
  <si>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</si>
  <si>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</si>
  <si>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</si>
  <si>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</si>
  <si>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</si>
  <si>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</si>
  <si>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</si>
  <si>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</si>
  <si>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</si>
  <si>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</si>
  <si>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</si>
  <si>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</si>
  <si>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</si>
  <si>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</si>
  <si>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</si>
  <si>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</si>
  <si>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</si>
  <si>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</si>
  <si>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</si>
  <si>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</si>
  <si>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</si>
  <si>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</si>
  <si>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</si>
  <si>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</si>
  <si>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</si>
  <si>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</si>
  <si>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</si>
  <si>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</si>
  <si>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</si>
  <si>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</si>
  <si>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</si>
  <si>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</si>
  <si>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</si>
  <si>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</si>
  <si>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</si>
  <si>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</si>
  <si>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</si>
  <si>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</si>
  <si>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</si>
  <si>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</si>
  <si>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</si>
  <si>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</si>
  <si>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</si>
  <si>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</si>
  <si>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</si>
  <si>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</si>
  <si>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</si>
  <si>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</si>
  <si>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</si>
  <si>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</si>
  <si>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</si>
  <si>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</si>
  <si>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</si>
  <si>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</si>
  <si>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</si>
  <si>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</si>
  <si>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</si>
  <si>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</si>
  <si>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</si>
  <si>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</si>
  <si>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</si>
  <si>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</si>
  <si>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</si>
  <si>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</si>
  <si>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</si>
  <si>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</si>
  <si>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</si>
  <si>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</si>
  <si>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</si>
  <si>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</si>
  <si>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</si>
  <si>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</si>
  <si>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</si>
  <si>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</si>
  <si>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</si>
  <si>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</si>
  <si>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</si>
  <si>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</si>
  <si>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</si>
  <si>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</si>
  <si>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</si>
  <si>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</si>
  <si>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</si>
  <si>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</si>
  <si>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</si>
  <si>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</si>
  <si>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</si>
  <si>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</si>
  <si>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</si>
  <si>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</si>
  <si>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</si>
  <si>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</si>
  <si>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</si>
  <si>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</si>
  <si>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</si>
  <si>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</si>
  <si>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</si>
  <si>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</si>
  <si>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</si>
  <si>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</si>
  <si>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</si>
  <si>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</si>
  <si>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</si>
  <si>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</si>
  <si>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</si>
  <si>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</si>
  <si>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</si>
  <si>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</si>
  <si>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</si>
  <si>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</si>
  <si>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</si>
  <si>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</si>
  <si>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</si>
  <si>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</si>
  <si>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</si>
  <si>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</si>
  <si>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</si>
  <si>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</si>
  <si>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</si>
  <si>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</si>
  <si>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</si>
  <si>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</si>
  <si>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</si>
  <si>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</si>
  <si>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</si>
  <si>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</si>
  <si>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</si>
  <si>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</si>
  <si>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</si>
  <si>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</si>
  <si>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</si>
  <si>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</si>
  <si>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</si>
  <si>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</si>
  <si>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</si>
  <si>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</si>
  <si>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</si>
  <si>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</si>
  <si>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</si>
  <si>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</si>
  <si>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</si>
  <si>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</si>
  <si>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</si>
  <si>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</si>
  <si>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</si>
  <si>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</si>
  <si>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</si>
  <si>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</si>
  <si>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</si>
  <si>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</si>
  <si>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</si>
  <si>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</si>
  <si>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</si>
  <si>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</si>
  <si>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</si>
  <si>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</si>
  <si>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</si>
  <si>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</si>
  <si>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</si>
  <si>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</si>
  <si>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</si>
  <si>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</si>
  <si>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</si>
  <si>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</si>
  <si>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</si>
  <si>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</si>
  <si>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</si>
  <si>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</si>
  <si>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</si>
  <si>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</si>
  <si>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</si>
  <si>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</si>
  <si>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</si>
  <si>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</si>
  <si>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</si>
  <si>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</si>
  <si>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</si>
  <si>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</si>
  <si>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</si>
  <si>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</si>
  <si>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</si>
  <si>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</si>
  <si>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</si>
  <si>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</si>
  <si>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</si>
  <si>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</si>
  <si>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</si>
  <si>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</si>
  <si>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</si>
  <si>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</si>
  <si>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</si>
  <si>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</si>
  <si>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</si>
  <si>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</si>
  <si>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</si>
  <si>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</si>
  <si>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</si>
  <si>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</si>
  <si>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</si>
  <si>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</si>
  <si>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</si>
  <si>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</si>
  <si>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</si>
  <si>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</si>
  <si>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</si>
  <si>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</si>
  <si>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</si>
  <si>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</si>
  <si>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</si>
  <si>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</si>
  <si>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</si>
  <si>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</si>
  <si>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</si>
  <si>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</si>
  <si>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</si>
  <si>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</si>
  <si>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</si>
  <si>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</si>
  <si>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</si>
  <si>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</si>
  <si>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</si>
  <si>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</si>
  <si>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</si>
  <si>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</si>
  <si>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</si>
  <si>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</si>
  <si>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</si>
  <si>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</si>
  <si>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</si>
  <si>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</si>
  <si>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</si>
  <si>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</si>
  <si>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</si>
  <si>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</si>
  <si>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</si>
  <si>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</si>
  <si>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</si>
  <si>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</si>
  <si>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</si>
  <si>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</si>
  <si>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</si>
  <si>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</si>
  <si>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</si>
  <si>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</si>
  <si>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</si>
  <si>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</si>
  <si>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</si>
  <si>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</si>
  <si>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</si>
  <si>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</si>
  <si>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</si>
  <si>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</si>
  <si>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</si>
  <si>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</si>
  <si>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</si>
  <si>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</si>
  <si>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</si>
  <si>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</si>
  <si>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</si>
  <si>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</si>
  <si>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</si>
  <si>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</si>
  <si>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</si>
  <si>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</si>
  <si>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</si>
  <si>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</si>
  <si>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</si>
  <si>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</si>
  <si>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</si>
  <si>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</si>
  <si>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</si>
  <si>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</si>
  <si>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</si>
  <si>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</si>
  <si>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</si>
  <si>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</si>
  <si>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</si>
  <si>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</si>
  <si>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</si>
  <si>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</si>
  <si>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</si>
  <si>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</si>
  <si>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</si>
  <si>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</si>
  <si>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</si>
  <si>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</si>
  <si>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</si>
  <si>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</si>
  <si>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</si>
  <si>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</si>
  <si>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</si>
  <si>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</si>
  <si>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</si>
  <si>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</si>
  <si>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</si>
  <si>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</si>
  <si>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</si>
  <si>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</si>
  <si>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</si>
  <si>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</si>
  <si>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</si>
  <si>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</si>
  <si>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</si>
  <si>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</si>
  <si>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</si>
  <si>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</si>
  <si>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</si>
  <si>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</si>
  <si>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</si>
  <si>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</si>
  <si>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</si>
  <si>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</si>
  <si>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</si>
  <si>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</si>
  <si>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</si>
  <si>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</si>
  <si>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</si>
  <si>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</si>
  <si>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</si>
  <si>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</si>
  <si>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</si>
  <si>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</si>
  <si>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</si>
  <si>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</si>
  <si>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</si>
  <si>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</si>
  <si>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</si>
  <si>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</si>
  <si>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</si>
  <si>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</si>
  <si>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</si>
  <si>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</si>
  <si>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</si>
  <si>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</si>
  <si>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</si>
  <si>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</si>
  <si>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</si>
  <si>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</si>
  <si>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</si>
  <si>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</si>
  <si>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</si>
  <si>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</si>
  <si>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</si>
  <si>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</si>
  <si>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</si>
  <si>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</si>
  <si>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</si>
  <si>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</si>
  <si>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</si>
  <si>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</si>
  <si>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</si>
  <si>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</si>
  <si>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</si>
  <si>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</si>
  <si>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</si>
  <si>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</si>
  <si>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</si>
  <si>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</si>
  <si>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</si>
  <si>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</si>
  <si>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</si>
  <si>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</si>
  <si>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</si>
  <si>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</si>
  <si>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</si>
  <si>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</si>
  <si>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</si>
  <si>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</si>
  <si>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</si>
  <si>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</si>
  <si>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</si>
  <si>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</si>
  <si>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</si>
  <si>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</si>
  <si>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</si>
  <si>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</si>
  <si>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</si>
  <si>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</si>
  <si>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</si>
  <si>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</si>
  <si>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</si>
  <si>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</si>
  <si>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</si>
  <si>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</si>
  <si>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</si>
  <si>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</si>
  <si>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</si>
  <si>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</si>
  <si>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</si>
  <si>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</si>
  <si>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</si>
  <si>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</si>
  <si>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</si>
  <si>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</si>
  <si>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</si>
  <si>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</si>
  <si>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</si>
  <si>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</si>
  <si>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</si>
  <si>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</si>
  <si>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</si>
  <si>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</si>
  <si>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</si>
  <si>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</si>
  <si>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</si>
  <si>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</si>
  <si>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</si>
  <si>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</si>
  <si>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</si>
  <si>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</si>
  <si>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</si>
  <si>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</si>
  <si>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</si>
  <si>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</si>
  <si>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</si>
  <si>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</si>
  <si>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</si>
  <si>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</si>
  <si>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</si>
  <si>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</si>
  <si>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</si>
  <si>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</si>
  <si>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</si>
  <si>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</si>
  <si>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</si>
  <si>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</si>
  <si>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</si>
  <si>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</si>
  <si>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</si>
  <si>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</si>
  <si>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</si>
  <si>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</si>
  <si>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</si>
  <si>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</si>
  <si>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</si>
  <si>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</si>
  <si>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</si>
  <si>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</si>
  <si>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</si>
  <si>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</si>
  <si>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</si>
  <si>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</si>
  <si>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</si>
  <si>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</si>
  <si>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</si>
  <si>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</si>
  <si>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</si>
  <si>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</si>
  <si>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</si>
  <si>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</si>
  <si>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</si>
  <si>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</si>
  <si>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</si>
  <si>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</si>
  <si>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</si>
  <si>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</si>
  <si>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</si>
  <si>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</si>
  <si>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</si>
  <si>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</si>
  <si>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</si>
  <si>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</si>
  <si>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</si>
  <si>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</si>
  <si>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</si>
  <si>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</si>
  <si>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</si>
  <si>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</si>
  <si>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</si>
  <si>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</si>
  <si>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</si>
  <si>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</si>
  <si>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</si>
  <si>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</si>
  <si>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</si>
  <si>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</si>
  <si>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</si>
  <si>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</si>
  <si>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</si>
  <si>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</si>
  <si>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</si>
  <si>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</si>
  <si>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</si>
  <si>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</si>
  <si>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</si>
  <si>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</si>
  <si>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</si>
  <si>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</si>
  <si>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</si>
  <si>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</si>
  <si>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</si>
  <si>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</si>
  <si>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</si>
  <si>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</si>
  <si>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</si>
  <si>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</si>
  <si>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</si>
  <si>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</si>
  <si>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</si>
  <si>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</si>
  <si>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</si>
  <si>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</si>
  <si>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</si>
  <si>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</si>
  <si>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</si>
  <si>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</si>
  <si>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</si>
  <si>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</si>
  <si>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</si>
  <si>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</si>
  <si>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</si>
  <si>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</si>
  <si>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</si>
  <si>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</si>
  <si>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</si>
  <si>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</si>
  <si>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</si>
  <si>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</si>
  <si>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</si>
  <si>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</si>
  <si>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</si>
  <si>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</si>
  <si>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</si>
  <si>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</si>
  <si>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</si>
  <si>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</si>
  <si>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</si>
  <si>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</si>
  <si>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</si>
  <si>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</si>
  <si>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</si>
  <si>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</si>
  <si>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</si>
  <si>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</si>
  <si>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</si>
  <si>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</si>
  <si>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</si>
  <si>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</si>
  <si>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</si>
  <si>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</si>
  <si>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</si>
  <si>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</si>
  <si>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</si>
  <si>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</si>
  <si>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</si>
  <si>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</si>
  <si>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</si>
  <si>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</si>
  <si>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</si>
  <si>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</si>
  <si>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</si>
  <si>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</si>
  <si>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</si>
  <si>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</si>
  <si>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</si>
  <si>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</si>
  <si>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</si>
  <si>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</si>
  <si>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</si>
  <si>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</si>
  <si>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</si>
  <si>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</si>
  <si>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</si>
  <si>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</si>
  <si>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</si>
  <si>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</si>
  <si>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</si>
  <si>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</si>
  <si>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</si>
  <si>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</si>
  <si>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</si>
  <si>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</si>
  <si>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</si>
  <si>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</si>
  <si>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</si>
  <si>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</si>
  <si>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</si>
  <si>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</si>
  <si>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</si>
  <si>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</si>
  <si>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</si>
  <si>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</si>
  <si>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</si>
  <si>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</si>
  <si>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</si>
  <si>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</si>
  <si>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</si>
  <si>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</si>
  <si>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</si>
  <si>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</si>
  <si>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</si>
  <si>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</si>
  <si>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</si>
  <si>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</si>
  <si>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</si>
  <si>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</si>
  <si>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</si>
  <si>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</si>
  <si>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</si>
  <si>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</si>
  <si>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</si>
  <si>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</si>
  <si>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</si>
  <si>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</si>
  <si>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</si>
  <si>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</si>
  <si>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</si>
  <si>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</si>
  <si>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</si>
  <si>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</si>
  <si>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</si>
  <si>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</si>
  <si>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</si>
  <si>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</si>
  <si>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</si>
  <si>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</si>
  <si>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</si>
  <si>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</si>
  <si>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</si>
  <si>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</si>
  <si>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</si>
  <si>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</si>
  <si>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</si>
  <si>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</si>
  <si>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</si>
  <si>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</si>
  <si>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</si>
  <si>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</si>
  <si>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</si>
  <si>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</si>
  <si>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</si>
  <si>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</si>
  <si>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</si>
  <si>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</si>
  <si>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</si>
  <si>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</si>
  <si>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</si>
  <si>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</si>
  <si>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</si>
  <si>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</si>
  <si>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</si>
  <si>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</si>
  <si>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</si>
  <si>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</si>
  <si>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</si>
  <si>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</si>
  <si>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</si>
  <si>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</si>
  <si>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</si>
  <si>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</si>
  <si>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</si>
  <si>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</si>
  <si>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</si>
  <si>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</si>
  <si>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</si>
  <si>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</si>
  <si>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</si>
  <si>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</si>
  <si>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</si>
  <si>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</si>
  <si>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</si>
  <si>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</si>
  <si>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</si>
  <si>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</si>
  <si>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</si>
  <si>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</si>
  <si>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</si>
  <si>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</si>
  <si>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</si>
  <si>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</si>
  <si>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</si>
  <si>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</si>
  <si>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</si>
  <si>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</si>
  <si>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</si>
  <si>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</si>
  <si>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</si>
  <si>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</si>
  <si>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</si>
  <si>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</si>
  <si>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</si>
  <si>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</si>
  <si>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</si>
  <si>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</si>
  <si>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</si>
  <si>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</si>
  <si>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</si>
  <si>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</si>
  <si>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</si>
  <si>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</si>
  <si>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</si>
  <si>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</si>
  <si>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</si>
  <si>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</si>
  <si>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</si>
  <si>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</si>
  <si>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</si>
  <si>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</si>
  <si>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</si>
  <si>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</si>
  <si>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</si>
  <si>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</si>
  <si>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</si>
  <si>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</si>
  <si>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</si>
  <si>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</si>
  <si>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</si>
  <si>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</si>
  <si>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</si>
  <si>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</si>
  <si>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</si>
  <si>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</si>
  <si>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</si>
  <si>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</si>
  <si>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</si>
  <si>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</si>
  <si>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</si>
  <si>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</si>
  <si>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</si>
  <si>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</si>
  <si>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</si>
  <si>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</si>
  <si>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</si>
  <si>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</si>
  <si>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</si>
  <si>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</si>
  <si>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</si>
  <si>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</si>
  <si>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</si>
  <si>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</si>
  <si>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</si>
  <si>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</si>
  <si>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</si>
  <si>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</si>
  <si>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</si>
  <si>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</si>
  <si>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</si>
  <si>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</si>
  <si>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</si>
  <si>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</si>
  <si>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</si>
  <si>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</si>
  <si>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</si>
  <si>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</si>
  <si>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</si>
  <si>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</si>
  <si>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</si>
  <si>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</si>
  <si>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</si>
  <si>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</si>
  <si>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</si>
  <si>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</si>
  <si>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</si>
  <si>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</si>
  <si>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</si>
  <si>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</si>
  <si>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</si>
  <si>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</si>
  <si>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</si>
  <si>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</si>
  <si>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</si>
  <si>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</si>
  <si>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</si>
  <si>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</si>
  <si>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</si>
  <si>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</si>
  <si>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</si>
  <si>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</si>
  <si>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</si>
  <si>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</si>
  <si>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</si>
  <si>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</si>
  <si>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</si>
  <si>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</si>
  <si>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</si>
  <si>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</si>
  <si>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</si>
  <si>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</si>
  <si>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</si>
  <si>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</si>
  <si>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</si>
  <si>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</si>
  <si>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</si>
  <si>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</si>
  <si>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</si>
  <si>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</si>
  <si>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</si>
  <si>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</si>
  <si>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</si>
  <si>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</si>
  <si>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</si>
  <si>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</si>
  <si>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</si>
  <si>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</si>
  <si>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</si>
  <si>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</si>
  <si>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</si>
  <si>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</si>
  <si>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</si>
  <si>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</si>
  <si>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</si>
  <si>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</si>
  <si>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</si>
  <si>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</si>
  <si>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</si>
  <si>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</si>
  <si>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</si>
  <si>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</si>
  <si>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</si>
  <si>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</si>
  <si>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</si>
  <si>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</si>
  <si>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</si>
  <si>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</si>
  <si>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</si>
  <si>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</si>
  <si>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</si>
  <si>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</si>
  <si>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</si>
  <si>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</si>
  <si>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</si>
  <si>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</si>
  <si>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</si>
  <si>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</si>
  <si>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</si>
  <si>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</si>
  <si>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</si>
  <si>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</si>
  <si>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</si>
  <si>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</si>
  <si>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</si>
  <si>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</si>
  <si>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</si>
  <si>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</si>
  <si>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</si>
  <si>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</si>
  <si>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</si>
  <si>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</si>
  <si>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</si>
  <si>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</si>
  <si>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</si>
  <si>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</si>
  <si>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</si>
  <si>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</si>
  <si>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</si>
  <si>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</si>
  <si>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</si>
  <si>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</si>
  <si>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</si>
  <si>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</si>
  <si>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</si>
  <si>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</si>
  <si>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</si>
  <si>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</si>
  <si>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</si>
  <si>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</si>
  <si>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</si>
  <si>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</si>
  <si>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</si>
  <si>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</si>
  <si>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</si>
  <si>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</si>
  <si>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</si>
  <si>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</si>
  <si>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</si>
  <si>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</si>
  <si>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</si>
  <si>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</si>
  <si>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</si>
  <si>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</si>
  <si>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</si>
  <si>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</si>
  <si>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</si>
  <si>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</si>
  <si>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</si>
  <si>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</si>
  <si>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</si>
  <si>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</si>
  <si>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</si>
  <si>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</si>
  <si>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</si>
  <si>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</si>
  <si>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</si>
  <si>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</si>
  <si>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</si>
  <si>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</si>
  <si>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</si>
  <si>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</si>
  <si>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</si>
  <si>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</si>
  <si>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</si>
  <si>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</si>
  <si>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</si>
  <si>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</si>
  <si>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</si>
  <si>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</si>
  <si>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</si>
  <si>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</si>
  <si>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</si>
  <si>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</si>
  <si>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</si>
  <si>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</si>
  <si>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</si>
  <si>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</si>
  <si>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</si>
  <si>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</si>
  <si>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</si>
  <si>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</si>
  <si>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</si>
  <si>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</si>
  <si>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</si>
  <si>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</si>
  <si>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</si>
  <si>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</si>
  <si>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</si>
  <si>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</si>
  <si>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</si>
  <si>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</si>
  <si>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</si>
  <si>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</si>
  <si>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</si>
  <si>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</si>
  <si>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</si>
  <si>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</si>
  <si>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</si>
  <si>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</si>
  <si>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</si>
  <si>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</si>
  <si>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</si>
  <si>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</si>
  <si>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</si>
  <si>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</si>
  <si>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</si>
  <si>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</si>
  <si>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</si>
  <si>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</si>
  <si>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</si>
  <si>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</si>
  <si>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</si>
  <si>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</si>
  <si>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</si>
  <si>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</si>
  <si>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</si>
  <si>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</si>
  <si>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</si>
  <si>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</si>
  <si>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</si>
  <si>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</si>
  <si>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</si>
  <si>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</si>
  <si>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</si>
  <si>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</si>
  <si>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</si>
  <si>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</si>
  <si>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</si>
  <si>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</si>
  <si>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</si>
  <si>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</si>
  <si>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</si>
  <si>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</si>
  <si>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</si>
  <si>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</si>
  <si>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</si>
  <si>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</si>
  <si>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</si>
  <si>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</si>
  <si>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</si>
  <si>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</si>
  <si>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</si>
  <si>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</si>
  <si>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</si>
  <si>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</si>
  <si>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</si>
  <si>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</si>
  <si>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</si>
  <si>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</si>
  <si>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</si>
  <si>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</si>
  <si>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</si>
  <si>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</si>
  <si>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</si>
  <si>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</si>
  <si>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</si>
  <si>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</si>
  <si>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</si>
  <si>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</si>
  <si>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</si>
  <si>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</si>
  <si>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</si>
  <si>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</si>
  <si>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</si>
  <si>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</si>
  <si>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</si>
  <si>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</si>
  <si>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</si>
  <si>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</si>
  <si>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</si>
  <si>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</si>
  <si>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</si>
  <si>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</si>
  <si>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</si>
  <si>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</si>
  <si>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</si>
  <si>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</si>
  <si>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</si>
  <si>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</si>
  <si>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</si>
  <si>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</si>
  <si>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</si>
  <si>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</si>
  <si>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</si>
  <si>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</si>
  <si>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</si>
  <si>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</si>
  <si>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</si>
  <si>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</si>
  <si>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</si>
  <si>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</si>
  <si>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</si>
  <si>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</si>
  <si>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</si>
  <si>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</si>
  <si>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</si>
  <si>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</si>
  <si>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</si>
  <si>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</si>
  <si>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</si>
  <si>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</si>
  <si>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</si>
  <si>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</si>
  <si>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</si>
  <si>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</si>
  <si>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</si>
  <si>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</si>
  <si>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</si>
  <si>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</si>
  <si>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</si>
  <si>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</si>
  <si>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</si>
  <si>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</si>
  <si>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</si>
  <si>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</si>
  <si>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</si>
  <si>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</si>
  <si>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</si>
  <si>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</si>
  <si>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</si>
  <si>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</si>
  <si>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</si>
  <si>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</si>
  <si>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</si>
  <si>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</si>
  <si>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</si>
  <si>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</si>
  <si>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</si>
  <si>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</si>
  <si>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</si>
  <si>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</si>
  <si>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</si>
  <si>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</si>
  <si>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</si>
  <si>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</si>
  <si>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</si>
  <si>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</si>
  <si>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</si>
  <si>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</si>
  <si>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</si>
  <si>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</si>
  <si>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</si>
  <si>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</si>
  <si>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</si>
  <si>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</si>
  <si>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</si>
  <si>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</si>
  <si>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</si>
  <si>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</si>
  <si>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</si>
  <si>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</si>
  <si>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</si>
  <si>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</si>
  <si>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</si>
  <si>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</si>
  <si>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</si>
  <si>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</si>
  <si>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</si>
  <si>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</si>
  <si>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</si>
  <si>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</si>
  <si>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</si>
  <si>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</si>
  <si>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</si>
  <si>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</si>
  <si>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</si>
  <si>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</si>
  <si>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</si>
  <si>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</si>
  <si>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</si>
  <si>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</si>
  <si>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</si>
  <si>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</si>
  <si>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</si>
  <si>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</si>
  <si>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</si>
  <si>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</si>
  <si>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</si>
  <si>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</si>
  <si>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</si>
  <si>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</si>
  <si>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</si>
  <si>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</si>
  <si>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</si>
  <si>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</si>
  <si>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</si>
  <si>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</si>
  <si>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</si>
  <si>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</si>
  <si>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</si>
  <si>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</si>
  <si>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</si>
  <si>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</si>
  <si>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</si>
  <si>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</si>
  <si>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</si>
  <si>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</si>
  <si>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</si>
  <si>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</si>
  <si>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</si>
  <si>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</si>
  <si>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</si>
  <si>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</si>
  <si>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</si>
  <si>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</si>
  <si>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</si>
  <si>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</si>
  <si>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</si>
  <si>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</si>
  <si>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</si>
  <si>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</si>
  <si>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</si>
  <si>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</si>
  <si>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</si>
  <si>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</si>
  <si>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</si>
  <si>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</si>
  <si>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</si>
  <si>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</si>
  <si>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</si>
  <si>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</si>
  <si>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</si>
  <si>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</si>
  <si>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</si>
  <si>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</si>
  <si>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</si>
  <si>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</si>
  <si>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</si>
  <si>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</si>
  <si>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</si>
  <si>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</si>
  <si>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</si>
  <si>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</si>
  <si>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</si>
  <si>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</si>
  <si>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</si>
  <si>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</si>
  <si>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</si>
  <si>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</si>
  <si>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</si>
  <si>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</si>
  <si>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</si>
  <si>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</si>
  <si>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</si>
  <si>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</si>
  <si>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</si>
  <si>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</si>
  <si>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</si>
  <si>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</si>
  <si>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</si>
  <si>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</si>
  <si>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</si>
  <si>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</si>
  <si>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</si>
  <si>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</si>
  <si>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</si>
  <si>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</si>
  <si>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</si>
  <si>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</si>
  <si>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</si>
  <si>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</si>
  <si>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</si>
  <si>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</si>
  <si>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</si>
  <si>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</si>
  <si>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</si>
  <si>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</si>
  <si>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</si>
  <si>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</si>
  <si>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</si>
  <si>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</si>
  <si>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</si>
  <si>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</si>
  <si>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</si>
  <si>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</si>
  <si>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</si>
  <si>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</si>
  <si>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</si>
  <si>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</si>
  <si>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</si>
  <si>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</si>
  <si>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</si>
  <si>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</si>
  <si>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</si>
  <si>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</si>
  <si>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</si>
  <si>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</si>
  <si>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</si>
  <si>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</si>
  <si>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</si>
  <si>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</si>
  <si>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</si>
  <si>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</si>
  <si>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</si>
  <si>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</si>
  <si>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</si>
  <si>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</si>
  <si>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</si>
  <si>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</si>
  <si>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</si>
  <si>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</si>
  <si>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</si>
  <si>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</si>
  <si>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</si>
  <si>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</si>
  <si>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</si>
  <si>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</si>
  <si>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</si>
  <si>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</si>
  <si>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</si>
  <si>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</si>
  <si>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</si>
  <si>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</si>
  <si>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</si>
  <si>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</si>
  <si>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</si>
  <si>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</si>
  <si>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</si>
  <si>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</si>
  <si>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</si>
  <si>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</si>
  <si>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</si>
  <si>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</si>
  <si>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</si>
  <si>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</si>
  <si>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</si>
  <si>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</si>
  <si>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</si>
  <si>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</si>
  <si>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</si>
  <si>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</si>
  <si>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</si>
  <si>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</si>
  <si>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</si>
  <si>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</si>
  <si>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</si>
  <si>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</si>
  <si>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</si>
  <si>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</si>
  <si>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</si>
  <si>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</si>
  <si>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</si>
  <si>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</si>
  <si>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</si>
  <si>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</si>
  <si>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</si>
  <si>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</si>
  <si>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</si>
  <si>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</si>
  <si>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</si>
  <si>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</si>
  <si>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</si>
  <si>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</si>
  <si>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</si>
  <si>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</si>
  <si>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</si>
  <si>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</si>
  <si>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</si>
  <si>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</si>
  <si>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</si>
  <si>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</si>
  <si>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</si>
  <si>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</si>
  <si>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</si>
  <si>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</si>
  <si>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</si>
  <si>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</si>
  <si>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</si>
  <si>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</si>
  <si>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</si>
  <si>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</si>
  <si>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</si>
  <si>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</si>
  <si>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</si>
  <si>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</si>
  <si>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</si>
  <si>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</si>
  <si>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</si>
  <si>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</si>
  <si>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</si>
  <si>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</si>
  <si>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</si>
  <si>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</si>
  <si>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</si>
  <si>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</si>
  <si>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</si>
  <si>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</si>
  <si>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</si>
  <si>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</si>
  <si>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</si>
  <si>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</si>
  <si>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</si>
  <si>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</si>
  <si>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</si>
  <si>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</si>
  <si>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</si>
  <si>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</si>
  <si>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</si>
  <si>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</si>
  <si>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</si>
  <si>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</si>
  <si>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</si>
  <si>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</si>
  <si>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</si>
  <si>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</si>
  <si>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</si>
  <si>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</si>
  <si>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</si>
  <si>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</si>
  <si>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</si>
  <si>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</si>
  <si>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</si>
  <si>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</si>
  <si>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</si>
  <si>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</si>
  <si>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</si>
  <si>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</si>
  <si>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</si>
  <si>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</si>
  <si>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</si>
  <si>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</si>
  <si>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</si>
  <si>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</si>
  <si>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</si>
  <si>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</si>
  <si>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</si>
  <si>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</si>
  <si>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</si>
  <si>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</si>
  <si>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</si>
  <si>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</si>
  <si>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</si>
  <si>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</si>
  <si>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</si>
  <si>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</si>
  <si>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</si>
  <si>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</si>
  <si>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</si>
  <si>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</si>
  <si>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</si>
  <si>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</si>
  <si>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</si>
  <si>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</si>
  <si>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</si>
  <si>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</si>
  <si>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</si>
  <si>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</si>
  <si>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</si>
  <si>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</si>
  <si>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</si>
  <si>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</si>
  <si>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</si>
  <si>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</si>
  <si>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</si>
  <si>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</si>
  <si>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</si>
  <si>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</si>
  <si>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</si>
  <si>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</si>
  <si>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</si>
  <si>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</si>
  <si>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</si>
  <si>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</si>
  <si>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</si>
  <si>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</si>
  <si>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</si>
  <si>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</si>
  <si>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</si>
  <si>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</si>
  <si>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</si>
  <si>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</si>
  <si>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</si>
  <si>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</si>
  <si>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</si>
  <si>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</si>
  <si>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</si>
  <si>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</si>
  <si>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</si>
  <si>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</si>
  <si>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</si>
  <si>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</si>
  <si>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</si>
  <si>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</si>
  <si>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</si>
  <si>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</si>
  <si>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</si>
  <si>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</si>
  <si>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</si>
  <si>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</si>
  <si>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</si>
  <si>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</si>
  <si>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</si>
  <si>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</si>
  <si>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</si>
  <si>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</si>
  <si>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</si>
  <si>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</si>
  <si>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</si>
  <si>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</si>
  <si>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</si>
  <si>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</si>
  <si>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</si>
  <si>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</si>
  <si>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</si>
  <si>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</si>
  <si>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</si>
  <si>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</si>
  <si>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</si>
  <si>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</si>
  <si>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</si>
  <si>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</si>
  <si>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</si>
  <si>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</si>
  <si>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</si>
  <si>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</si>
  <si>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</si>
  <si>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</si>
  <si>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</si>
  <si>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</si>
  <si>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</si>
  <si>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</si>
  <si>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</si>
  <si>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</si>
  <si>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</si>
  <si>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</si>
  <si>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</si>
  <si>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</si>
  <si>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</si>
  <si>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</si>
  <si>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</si>
  <si>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</si>
  <si>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</si>
  <si>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</si>
  <si>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</si>
  <si>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</si>
  <si>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</si>
  <si>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</si>
  <si>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</si>
  <si>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</si>
  <si>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</si>
  <si>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</si>
  <si>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</si>
  <si>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</si>
  <si>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</si>
  <si>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</si>
  <si>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</si>
  <si>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</si>
  <si>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</si>
  <si>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</si>
  <si>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</si>
  <si>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</si>
  <si>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</si>
  <si>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</si>
  <si>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</si>
  <si>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</si>
  <si>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</si>
  <si>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</si>
  <si>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</si>
  <si>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</si>
  <si>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</si>
  <si>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</si>
  <si>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</si>
  <si>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</si>
  <si>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</si>
  <si>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</si>
  <si>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</si>
  <si>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</si>
  <si>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</si>
  <si>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</si>
  <si>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</si>
  <si>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</si>
  <si>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</si>
  <si>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</si>
  <si>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</si>
  <si>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</si>
  <si>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</si>
  <si>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</si>
  <si>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</si>
  <si>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</si>
  <si>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</si>
  <si>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</si>
  <si>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</si>
  <si>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</si>
  <si>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</si>
  <si>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</si>
  <si>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</si>
  <si>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</si>
  <si>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</si>
  <si>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</si>
  <si>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</si>
  <si>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</si>
  <si>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</si>
  <si>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</si>
  <si>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</si>
  <si>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</si>
  <si>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</si>
  <si>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</si>
  <si>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</si>
  <si>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</si>
  <si>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</si>
  <si>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</si>
  <si>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</si>
  <si>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</si>
  <si>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</si>
  <si>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</si>
  <si>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</si>
  <si>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</si>
  <si>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</si>
  <si>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</si>
  <si>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</si>
  <si>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</si>
  <si>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</si>
  <si>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</si>
  <si>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</si>
  <si>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</si>
  <si>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</si>
  <si>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</si>
  <si>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</si>
  <si>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</si>
  <si>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</si>
  <si>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</si>
  <si>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</si>
  <si>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</si>
  <si>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</si>
  <si>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</si>
  <si>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</si>
  <si>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</si>
  <si>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</si>
  <si>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</si>
  <si>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</si>
  <si>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</si>
  <si>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</si>
  <si>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</si>
  <si>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</si>
  <si>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</si>
  <si>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</si>
  <si>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</si>
  <si>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</si>
  <si>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</si>
  <si>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</si>
  <si>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</si>
  <si>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</si>
  <si>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</si>
  <si>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</si>
  <si>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</si>
  <si>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</si>
  <si>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</si>
  <si>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</si>
  <si>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</si>
  <si>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</si>
  <si>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</si>
  <si>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</si>
  <si>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</si>
  <si>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</si>
  <si>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</si>
  <si>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</si>
  <si>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</si>
  <si>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</si>
  <si>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</si>
  <si>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</si>
  <si>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</si>
  <si>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</si>
  <si>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</si>
  <si>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</si>
  <si>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</si>
  <si>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</si>
  <si>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</si>
  <si>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</si>
  <si>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</si>
  <si>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</si>
  <si>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</si>
  <si>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</si>
  <si>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</si>
  <si>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</si>
  <si>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</si>
  <si>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</si>
  <si>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</si>
  <si>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</si>
  <si>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</si>
  <si>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</si>
  <si>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</si>
  <si>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</si>
  <si>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</si>
  <si>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</si>
  <si>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</si>
  <si>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</si>
  <si>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</si>
  <si>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</si>
  <si>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</si>
  <si>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</si>
  <si>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</si>
  <si>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</si>
  <si>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</si>
  <si>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</si>
  <si>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</si>
  <si>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</si>
  <si>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</si>
  <si>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</si>
  <si>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</si>
  <si>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</si>
  <si>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</si>
  <si>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</si>
  <si>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</si>
  <si>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</si>
  <si>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</si>
  <si>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</si>
  <si>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</si>
  <si>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</si>
  <si>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</si>
  <si>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</si>
  <si>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</si>
  <si>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</si>
  <si>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</si>
  <si>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</si>
  <si>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</si>
  <si>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</si>
  <si>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</si>
  <si>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</si>
  <si>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</si>
  <si>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</si>
  <si>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</si>
  <si>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</si>
  <si>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</si>
  <si>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</si>
  <si>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</si>
  <si>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</si>
  <si>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</si>
  <si>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</si>
  <si>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</si>
  <si>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</si>
  <si>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</si>
  <si>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</si>
  <si>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</si>
  <si>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</si>
  <si>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</si>
  <si>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</si>
  <si>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</si>
  <si>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</si>
  <si>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</si>
  <si>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</si>
  <si>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</si>
  <si>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</si>
  <si>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</si>
  <si>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</si>
  <si>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</si>
  <si>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</si>
  <si>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</si>
  <si>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</si>
  <si>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</si>
  <si>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</si>
  <si>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</si>
  <si>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</si>
  <si>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</si>
  <si>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</si>
  <si>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</si>
  <si>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</si>
  <si>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</si>
  <si>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</si>
  <si>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</si>
  <si>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</si>
  <si>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</si>
  <si>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</si>
  <si>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</si>
  <si>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</si>
  <si>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</si>
  <si>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</si>
  <si>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</si>
  <si>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</si>
  <si>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</si>
  <si>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</si>
  <si>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</si>
  <si>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</si>
  <si>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</si>
  <si>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</si>
  <si>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</si>
  <si>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</si>
  <si>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</si>
  <si>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</si>
  <si>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</si>
  <si>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</si>
  <si>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</si>
  <si>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</si>
  <si>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</si>
  <si>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</si>
  <si>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</si>
  <si>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</si>
  <si>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</si>
  <si>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</si>
  <si>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</si>
  <si>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</si>
  <si>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</si>
  <si>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</si>
  <si>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</si>
  <si>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</si>
  <si>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</si>
  <si>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</si>
  <si>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</si>
  <si>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</si>
  <si>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</si>
  <si>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</si>
  <si>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</si>
  <si>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</si>
  <si>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</si>
  <si>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</si>
  <si>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</si>
  <si>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</si>
  <si>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</si>
  <si>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</si>
  <si>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</si>
  <si>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</si>
  <si>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</si>
  <si>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</si>
  <si>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</si>
  <si>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</si>
  <si>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</si>
  <si>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</si>
  <si>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</si>
  <si>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</si>
  <si>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</si>
  <si>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</si>
  <si>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</si>
  <si>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</si>
  <si>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</si>
  <si>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</si>
  <si>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</si>
  <si>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</si>
  <si>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</si>
  <si>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</si>
  <si>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</si>
  <si>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</si>
  <si>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</si>
  <si>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</si>
  <si>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</si>
  <si>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</si>
  <si>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</si>
  <si>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</si>
  <si>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</si>
  <si>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</si>
  <si>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</si>
  <si>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</si>
  <si>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</si>
  <si>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</si>
  <si>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</si>
  <si>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</si>
  <si>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</si>
  <si>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</si>
  <si>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</si>
  <si>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</si>
  <si>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</si>
  <si>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</si>
  <si>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</si>
  <si>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</si>
  <si>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</si>
  <si>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</si>
  <si>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</si>
  <si>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</si>
  <si>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</si>
  <si>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</si>
  <si>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</si>
  <si>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</si>
  <si>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</si>
  <si>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</si>
  <si>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</si>
  <si>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</si>
  <si>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</si>
  <si>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</si>
  <si>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</si>
  <si>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</si>
  <si>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</si>
  <si>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</si>
  <si>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</si>
  <si>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</si>
  <si>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</si>
  <si>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</si>
  <si>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</si>
  <si>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</si>
  <si>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</si>
  <si>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</si>
  <si>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</si>
  <si>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</si>
  <si>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</si>
  <si>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</si>
  <si>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</si>
  <si>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</si>
  <si>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</si>
  <si>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</si>
  <si>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</si>
  <si>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</si>
  <si>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</si>
  <si>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</si>
  <si>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</si>
  <si>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</si>
  <si>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</si>
  <si>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</si>
  <si>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</si>
  <si>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</si>
  <si>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</si>
  <si>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</si>
  <si>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</si>
  <si>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</si>
  <si>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</si>
  <si>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</si>
  <si>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</si>
  <si>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</si>
  <si>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</si>
  <si>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</si>
  <si>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</si>
  <si>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</si>
  <si>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</si>
  <si>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</si>
  <si>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</si>
  <si>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</si>
  <si>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</si>
  <si>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</si>
  <si>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</si>
  <si>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</si>
  <si>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</si>
  <si>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</si>
  <si>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</si>
  <si>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</si>
  <si>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</si>
  <si>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</si>
  <si>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</si>
  <si>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</si>
  <si>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</si>
  <si>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</si>
  <si>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</si>
  <si>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</si>
  <si>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</si>
  <si>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</si>
  <si>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</si>
  <si>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</si>
  <si>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</si>
  <si>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</si>
  <si>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</si>
  <si>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</si>
  <si>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</si>
  <si>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</si>
  <si>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</si>
  <si>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</si>
  <si>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</si>
  <si>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</si>
  <si>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</si>
  <si>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</si>
  <si>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</si>
  <si>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</si>
  <si>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</si>
  <si>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</si>
  <si>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</si>
  <si>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</si>
  <si>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</si>
  <si>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</si>
  <si>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</si>
  <si>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</si>
  <si>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</si>
  <si>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</si>
  <si>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</si>
  <si>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</si>
  <si>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</si>
  <si>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</si>
  <si>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</si>
  <si>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</si>
  <si>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</si>
  <si>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</si>
  <si>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</si>
  <si>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</si>
  <si>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</si>
  <si>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</si>
  <si>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</si>
  <si>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</si>
  <si>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</si>
  <si>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</si>
  <si>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</si>
  <si>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</si>
  <si>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</si>
  <si>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</si>
  <si>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</si>
  <si>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</si>
  <si>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</si>
  <si>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</si>
  <si>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</si>
  <si>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</si>
  <si>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</si>
  <si>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</si>
  <si>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</si>
  <si>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</si>
  <si>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</si>
  <si>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</si>
  <si>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</si>
  <si>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</si>
  <si>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</si>
  <si>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</si>
  <si>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</si>
  <si>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</si>
  <si>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</si>
  <si>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</si>
  <si>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</si>
  <si>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</si>
  <si>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</si>
  <si>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</si>
  <si>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</si>
  <si>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</si>
  <si>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</si>
  <si>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</si>
  <si>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</si>
  <si>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</si>
  <si>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</si>
  <si>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</si>
  <si>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</si>
  <si>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</si>
  <si>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</si>
  <si>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</si>
  <si>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</si>
  <si>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</si>
  <si>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</si>
  <si>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</si>
  <si>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</si>
  <si>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</si>
  <si>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</si>
  <si>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</si>
  <si>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</si>
  <si>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</si>
  <si>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</si>
  <si>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</si>
  <si>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</si>
  <si>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</si>
  <si>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</si>
  <si>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</si>
  <si>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</si>
  <si>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</si>
  <si>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</si>
  <si>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</si>
  <si>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</si>
  <si>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</si>
  <si>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</si>
  <si>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</si>
  <si>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</si>
  <si>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</si>
  <si>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</si>
  <si>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</si>
  <si>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</si>
  <si>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</si>
  <si>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</si>
  <si>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</si>
  <si>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</si>
  <si>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</si>
  <si>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</si>
  <si>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</si>
  <si>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</si>
  <si>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</si>
  <si>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</si>
  <si>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</si>
  <si>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</si>
  <si>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</si>
  <si>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</si>
  <si>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</si>
  <si>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</si>
  <si>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</si>
  <si>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</si>
  <si>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</si>
  <si>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</si>
  <si>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</si>
  <si>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</si>
  <si>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</si>
  <si>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</si>
  <si>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</si>
  <si>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</si>
  <si>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</si>
  <si>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</si>
  <si>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</si>
  <si>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</si>
  <si>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</si>
  <si>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</si>
  <si>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</si>
  <si>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</si>
  <si>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</si>
  <si>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</si>
  <si>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</si>
  <si>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</si>
  <si>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</si>
  <si>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</si>
  <si>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</si>
  <si>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</si>
  <si>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</si>
  <si>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</si>
  <si>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</si>
  <si>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</si>
  <si>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</si>
  <si>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</si>
  <si>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</si>
  <si>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</si>
  <si>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</si>
  <si>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</si>
  <si>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</si>
  <si>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</si>
  <si>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</si>
  <si>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</si>
  <si>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</si>
  <si>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</si>
  <si>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</si>
  <si>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</si>
  <si>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</si>
  <si>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</si>
  <si>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</si>
  <si>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</si>
  <si>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</si>
  <si>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</si>
  <si>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</si>
  <si>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</si>
  <si>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</si>
  <si>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</si>
  <si>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</si>
  <si>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</si>
  <si>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</si>
  <si>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</si>
  <si>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</si>
  <si>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</si>
  <si>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</si>
  <si>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</si>
  <si>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</si>
  <si>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</si>
  <si>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</si>
  <si>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</si>
  <si>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</si>
  <si>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</si>
  <si>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</si>
  <si>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</si>
  <si>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</si>
  <si>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</si>
  <si>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</si>
  <si>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</si>
  <si>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</si>
  <si>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</si>
  <si>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</si>
  <si>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</si>
  <si>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</si>
  <si>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</si>
  <si>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</si>
  <si>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</si>
  <si>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</si>
  <si>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</si>
  <si>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</si>
  <si>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</si>
  <si>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</si>
  <si>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</si>
  <si>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</si>
  <si>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</si>
  <si>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</si>
  <si>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</si>
  <si>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</si>
  <si>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</si>
  <si>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</si>
  <si>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</si>
  <si>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</si>
  <si>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</si>
  <si>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</si>
  <si>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</si>
  <si>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</si>
  <si>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</si>
  <si>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</si>
  <si>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</si>
  <si>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</si>
  <si>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</si>
  <si>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</si>
  <si>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</si>
  <si>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</si>
  <si>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</si>
  <si>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</si>
  <si>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</si>
  <si>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</si>
  <si>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</si>
  <si>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</si>
  <si>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</si>
  <si>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</si>
  <si>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</si>
  <si>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</si>
  <si>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</si>
  <si>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</si>
  <si>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</si>
  <si>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</si>
  <si>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</si>
  <si>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</si>
  <si>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</si>
  <si>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</si>
  <si>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</si>
  <si>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</si>
  <si>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</si>
  <si>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</si>
  <si>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</si>
  <si>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</si>
  <si>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</si>
  <si>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</si>
  <si>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</si>
  <si>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</si>
  <si>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</si>
  <si>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</si>
  <si>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</si>
  <si>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</si>
  <si>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</si>
  <si>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</si>
  <si>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</si>
  <si>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</si>
  <si>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</si>
  <si>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</si>
  <si>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</si>
  <si>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</si>
  <si>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</si>
  <si>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</si>
  <si>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</si>
  <si>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</si>
  <si>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</si>
  <si>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</si>
  <si>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</si>
  <si>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</si>
  <si>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</si>
  <si>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</si>
  <si>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</si>
  <si>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</si>
  <si>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</si>
  <si>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</si>
  <si>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</si>
  <si>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</si>
  <si>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</si>
  <si>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</si>
  <si>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</si>
  <si>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</si>
  <si>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</si>
  <si>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</si>
  <si>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</si>
  <si>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</si>
  <si>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</si>
  <si>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</si>
  <si>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</si>
  <si>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</si>
  <si>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</si>
  <si>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</si>
  <si>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</si>
  <si>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</si>
  <si>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</si>
  <si>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</si>
  <si>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</si>
  <si>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</si>
  <si>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</si>
  <si>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</si>
  <si>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</si>
  <si>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</si>
  <si>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</si>
  <si>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</si>
  <si>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</si>
  <si>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</si>
  <si>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</si>
  <si>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</si>
  <si>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</si>
  <si>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</si>
  <si>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</si>
  <si>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</si>
  <si>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</si>
  <si>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</si>
  <si>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</si>
  <si>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</si>
  <si>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</si>
  <si>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</si>
  <si>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</si>
  <si>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</si>
  <si>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</si>
  <si>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</si>
  <si>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</si>
  <si>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</si>
  <si>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</si>
  <si>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</si>
  <si>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</si>
  <si>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</si>
  <si>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</si>
  <si>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</si>
  <si>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</si>
  <si>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</si>
  <si>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</si>
  <si>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</si>
  <si>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</si>
  <si>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</si>
  <si>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</si>
  <si>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</si>
  <si>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</si>
  <si>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</si>
  <si>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</si>
  <si>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</si>
  <si>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</si>
  <si>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</si>
  <si>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</si>
  <si>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</si>
  <si>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</si>
  <si>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</si>
  <si>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</si>
  <si>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</si>
  <si>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</si>
  <si>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</si>
  <si>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</si>
  <si>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</si>
  <si>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</si>
  <si>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</si>
  <si>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</si>
  <si>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</si>
  <si>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</si>
  <si>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</si>
  <si>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</si>
  <si>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</si>
  <si>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</si>
  <si>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</si>
  <si>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</si>
  <si>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</si>
  <si>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</si>
  <si>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</si>
  <si>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</si>
  <si>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</si>
  <si>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</si>
  <si>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</si>
  <si>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</si>
  <si>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</si>
  <si>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</si>
  <si>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</si>
  <si>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</si>
  <si>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</si>
  <si>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</si>
  <si>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</si>
  <si>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</si>
  <si>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</si>
  <si>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</si>
  <si>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</si>
  <si>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</si>
  <si>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</si>
  <si>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</si>
  <si>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</si>
  <si>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</si>
  <si>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</si>
  <si>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</si>
  <si>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</si>
  <si>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</si>
  <si>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</si>
  <si>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</si>
  <si>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</si>
  <si>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</si>
  <si>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</si>
  <si>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</si>
  <si>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</si>
  <si>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</si>
  <si>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</si>
  <si>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</si>
  <si>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</si>
  <si>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</si>
  <si>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</si>
  <si>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</si>
  <si>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</si>
  <si>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</si>
  <si>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</si>
  <si>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</si>
  <si>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</si>
  <si>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</si>
  <si>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</si>
  <si>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</si>
  <si>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</si>
  <si>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</si>
  <si>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</si>
  <si>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</si>
  <si>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</si>
  <si>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</si>
  <si>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</si>
  <si>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</si>
  <si>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</si>
  <si>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</si>
  <si>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</si>
  <si>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</si>
  <si>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</si>
  <si>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</si>
  <si>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</si>
  <si>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</si>
  <si>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</si>
  <si>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</si>
  <si>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</si>
  <si>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</si>
  <si>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</si>
  <si>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</si>
  <si>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</si>
  <si>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</si>
  <si>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</si>
  <si>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</si>
  <si>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</si>
  <si>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</si>
  <si>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</si>
  <si>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</si>
  <si>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</si>
  <si>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</si>
  <si>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</si>
  <si>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</si>
  <si>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</si>
  <si>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</si>
  <si>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</si>
  <si>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</si>
  <si>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</si>
  <si>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</si>
  <si>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</si>
  <si>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</si>
  <si>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</si>
  <si>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</si>
  <si>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</si>
  <si>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</si>
  <si>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</si>
  <si>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</si>
  <si>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</si>
  <si>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</si>
  <si>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</si>
  <si>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</si>
  <si>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</si>
  <si>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</si>
  <si>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</si>
  <si>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</si>
  <si>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</si>
  <si>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</si>
  <si>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</si>
  <si>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</si>
  <si>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</si>
  <si>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</si>
  <si>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</si>
  <si>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</si>
  <si>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</si>
  <si>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</si>
  <si>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</si>
  <si>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</si>
  <si>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</si>
  <si>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</si>
  <si>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</si>
  <si>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</si>
  <si>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</si>
  <si>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</si>
  <si>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</si>
  <si>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</si>
  <si>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</si>
  <si>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</si>
  <si>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</si>
  <si>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</si>
  <si>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</si>
  <si>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</si>
  <si>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</si>
  <si>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</si>
  <si>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</si>
  <si>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</si>
  <si>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</si>
  <si>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</si>
  <si>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</si>
  <si>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</si>
  <si>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</si>
  <si>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</si>
  <si>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</si>
  <si>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</si>
  <si>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</si>
  <si>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</si>
  <si>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</si>
  <si>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</si>
  <si>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</si>
  <si>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</si>
  <si>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</si>
  <si>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</si>
  <si>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</si>
  <si>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</si>
  <si>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</si>
  <si>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</si>
  <si>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</si>
  <si>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</si>
  <si>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</si>
  <si>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</si>
  <si>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</si>
  <si>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</si>
  <si>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</si>
  <si>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</si>
  <si>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</si>
  <si>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</si>
  <si>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</si>
  <si>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</si>
  <si>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</si>
  <si>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</si>
  <si>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</si>
  <si>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</si>
  <si>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</si>
  <si>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</si>
  <si>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</si>
  <si>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</si>
  <si>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</si>
  <si>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</si>
  <si>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</si>
  <si>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</si>
  <si>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</si>
  <si>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</si>
  <si>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</si>
  <si>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</si>
  <si>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</si>
  <si>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</si>
  <si>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</si>
  <si>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</si>
  <si>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</si>
  <si>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</si>
  <si>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</si>
  <si>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</si>
  <si>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</si>
  <si>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</si>
  <si>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</si>
  <si>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</si>
  <si>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</si>
  <si>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</si>
  <si>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</si>
  <si>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</si>
  <si>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</si>
  <si>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</si>
  <si>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</si>
  <si>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</si>
  <si>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</si>
  <si>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</si>
  <si>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</si>
  <si>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</si>
  <si>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</si>
  <si>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</si>
  <si>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</si>
  <si>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</si>
  <si>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</si>
  <si>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</si>
  <si>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</si>
  <si>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</si>
  <si>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</si>
  <si>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</si>
  <si>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</si>
  <si>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</si>
  <si>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</si>
  <si>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</si>
  <si>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</si>
  <si>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</si>
  <si>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</si>
  <si>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</si>
  <si>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</si>
  <si>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</si>
  <si>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</si>
  <si>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</si>
  <si>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</si>
  <si>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</si>
  <si>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</si>
  <si>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</si>
  <si>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</si>
  <si>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</si>
  <si>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</si>
  <si>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</si>
  <si>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</si>
  <si>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</si>
  <si>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</si>
  <si>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</si>
  <si>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</si>
  <si>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</si>
  <si>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</si>
  <si>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</si>
  <si>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</si>
  <si>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</si>
  <si>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</si>
  <si>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</si>
  <si>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</si>
  <si>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</si>
  <si>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</si>
  <si>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</si>
  <si>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</si>
  <si>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</si>
  <si>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</si>
  <si>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</si>
  <si>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</si>
  <si>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</si>
  <si>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</si>
  <si>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</si>
  <si>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</si>
  <si>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</si>
  <si>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</si>
  <si>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</si>
  <si>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</si>
  <si>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</si>
  <si>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</si>
  <si>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</si>
  <si>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</si>
  <si>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</si>
  <si>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</si>
  <si>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</si>
  <si>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</si>
  <si>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</si>
  <si>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</si>
  <si>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</si>
  <si>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</si>
  <si>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</si>
  <si>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</si>
  <si>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</si>
  <si>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</si>
  <si>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</si>
  <si>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</si>
  <si>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</si>
  <si>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</si>
  <si>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</si>
  <si>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</si>
  <si>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</si>
  <si>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</si>
  <si>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</si>
  <si>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</si>
  <si>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</si>
  <si>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</si>
  <si>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</si>
  <si>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</si>
  <si>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</si>
  <si>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</si>
  <si>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</si>
  <si>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</si>
  <si>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</si>
  <si>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</si>
  <si>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</si>
  <si>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</si>
  <si>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</si>
  <si>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</si>
  <si>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</si>
  <si>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</si>
  <si>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</si>
  <si>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</si>
  <si>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</si>
  <si>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</si>
  <si>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</si>
  <si>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</si>
  <si>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</si>
  <si>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</si>
  <si>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</si>
  <si>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</si>
  <si>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</si>
  <si>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</si>
  <si>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</si>
  <si>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</si>
  <si>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</si>
  <si>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</si>
  <si>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</si>
  <si>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</si>
  <si>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</si>
  <si>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</si>
  <si>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</si>
  <si>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</si>
  <si>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</si>
  <si>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</si>
  <si>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</si>
  <si>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</si>
  <si>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</si>
  <si>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</si>
  <si>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</si>
  <si>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</si>
  <si>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</si>
  <si>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</si>
  <si>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</si>
  <si>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</si>
  <si>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</si>
  <si>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</si>
  <si>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</si>
  <si>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</si>
  <si>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</si>
  <si>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</si>
  <si>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</si>
  <si>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</si>
  <si>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</si>
  <si>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</si>
  <si>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</si>
  <si>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</si>
  <si>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</si>
  <si>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</si>
  <si>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</si>
  <si>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</si>
  <si>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</si>
  <si>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</si>
  <si>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</si>
  <si>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</si>
  <si>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</si>
  <si>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</si>
  <si>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</si>
  <si>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</si>
  <si>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</si>
  <si>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</si>
  <si>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</si>
  <si>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</si>
  <si>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</si>
  <si>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</si>
  <si>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</si>
  <si>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</si>
  <si>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</si>
  <si>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</si>
  <si>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</si>
  <si>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</si>
  <si>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</si>
  <si>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</si>
  <si>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</si>
  <si>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</si>
  <si>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</si>
  <si>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</si>
  <si>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</si>
  <si>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</si>
  <si>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</si>
  <si>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</si>
  <si>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</si>
  <si>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</si>
  <si>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</si>
  <si>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</si>
  <si>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</si>
  <si>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</si>
  <si>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</si>
  <si>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</si>
  <si>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</si>
  <si>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</si>
  <si>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</si>
  <si>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</si>
  <si>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</si>
  <si>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</si>
  <si>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</si>
  <si>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</si>
  <si>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</si>
  <si>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</si>
  <si>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</si>
  <si>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</si>
  <si>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</si>
  <si>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</si>
  <si>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</si>
  <si>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</si>
  <si>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</si>
  <si>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</si>
  <si>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</si>
  <si>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</si>
  <si>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</si>
  <si>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</si>
  <si>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</si>
  <si>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</si>
  <si>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</si>
  <si>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</si>
  <si>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</si>
  <si>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</si>
  <si>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</si>
  <si>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</si>
  <si>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</si>
  <si>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</si>
  <si>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</si>
  <si>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</si>
  <si>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</si>
  <si>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</si>
  <si>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</si>
  <si>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</si>
  <si>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</si>
  <si>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</si>
  <si>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</si>
  <si>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</si>
  <si>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</si>
  <si>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</si>
  <si>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</si>
  <si>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</si>
  <si>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</si>
  <si>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</si>
  <si>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</si>
  <si>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</si>
  <si>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</si>
  <si>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</si>
  <si>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</si>
  <si>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</si>
  <si>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</si>
  <si>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</si>
  <si>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</si>
  <si>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</si>
  <si>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</si>
  <si>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</si>
  <si>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</si>
  <si>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</si>
  <si>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</si>
  <si>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</si>
  <si>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</si>
  <si>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</si>
  <si>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</si>
  <si>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</si>
  <si>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</si>
  <si>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</si>
  <si>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</si>
  <si>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</si>
  <si>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</si>
  <si>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</si>
  <si>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</si>
  <si>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</si>
  <si>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</si>
  <si>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</si>
  <si>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</si>
  <si>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</si>
  <si>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</si>
  <si>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</si>
  <si>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</si>
  <si>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</si>
  <si>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</si>
  <si>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</si>
  <si>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</si>
  <si>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</si>
  <si>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</si>
  <si>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</si>
  <si>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</si>
  <si>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</si>
  <si>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</si>
  <si>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</si>
  <si>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</si>
  <si>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</si>
  <si>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</si>
  <si>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</si>
  <si>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</si>
  <si>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</si>
  <si>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</si>
  <si>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</si>
  <si>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</si>
  <si>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</si>
  <si>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</si>
  <si>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</si>
  <si>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</si>
  <si>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</si>
  <si>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</si>
  <si>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</si>
  <si>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</si>
  <si>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</si>
  <si>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</si>
  <si>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</si>
  <si>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</si>
  <si>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</si>
  <si>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</si>
  <si>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</si>
  <si>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</si>
  <si>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</si>
  <si>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</si>
  <si>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</si>
  <si>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</si>
  <si>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</si>
  <si>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</si>
  <si>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</si>
  <si>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</si>
  <si>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</si>
  <si>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</si>
  <si>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</si>
  <si>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</si>
  <si>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</si>
  <si>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</si>
  <si>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</si>
  <si>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</si>
  <si>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</si>
  <si>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</si>
  <si>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</si>
  <si>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</si>
  <si>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</si>
  <si>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</si>
  <si>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</si>
  <si>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</si>
  <si>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</si>
  <si>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</si>
  <si>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</si>
  <si>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</si>
  <si>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</si>
  <si>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</si>
  <si>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</si>
  <si>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</si>
  <si>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</si>
  <si>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</si>
  <si>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</si>
  <si>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</si>
  <si>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</si>
  <si>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</si>
  <si>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</si>
  <si>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</si>
  <si>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</si>
  <si>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</si>
  <si>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</si>
  <si>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</si>
  <si>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</si>
  <si>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</si>
  <si>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</si>
  <si>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</si>
  <si>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</si>
  <si>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</si>
  <si>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</si>
  <si>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</si>
  <si>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</si>
  <si>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</si>
  <si>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</si>
  <si>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</si>
  <si>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</si>
  <si>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</si>
  <si>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</si>
  <si>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</si>
  <si>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</si>
  <si>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</si>
  <si>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</si>
  <si>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</si>
  <si>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</si>
  <si>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</si>
  <si>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</si>
  <si>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</si>
  <si>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</si>
  <si>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</si>
  <si>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</si>
  <si>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</si>
  <si>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</si>
  <si>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</si>
  <si>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</si>
  <si>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</si>
  <si>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</si>
  <si>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</si>
  <si>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</si>
  <si>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</si>
  <si>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</si>
  <si>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</si>
  <si>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</si>
  <si>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</si>
  <si>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</si>
  <si>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</si>
  <si>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</si>
  <si>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</si>
  <si>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</si>
  <si>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</si>
  <si>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</si>
  <si>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</si>
  <si>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</si>
  <si>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</si>
  <si>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</si>
  <si>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</si>
  <si>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</si>
  <si>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</si>
  <si>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</si>
  <si>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</si>
  <si>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</si>
  <si>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</si>
  <si>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</si>
  <si>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</si>
  <si>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</si>
  <si>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</si>
  <si>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</si>
  <si>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</si>
  <si>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</si>
  <si>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</si>
  <si>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</si>
  <si>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</si>
  <si>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</si>
  <si>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</si>
  <si>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</si>
  <si>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</si>
  <si>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</si>
  <si>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</si>
  <si>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</si>
  <si>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</si>
  <si>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</si>
  <si>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</si>
  <si>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</si>
  <si>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</si>
  <si>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</si>
  <si>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</si>
  <si>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</si>
  <si>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</si>
  <si>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</si>
  <si>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</si>
  <si>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</si>
  <si>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</si>
  <si>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</si>
  <si>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</si>
  <si>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</si>
  <si>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</si>
  <si>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</si>
  <si>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</si>
  <si>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</si>
  <si>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</si>
  <si>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</si>
  <si>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</si>
  <si>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</si>
  <si>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</si>
  <si>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</si>
  <si>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</si>
  <si>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</si>
  <si>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</si>
  <si>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</si>
  <si>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</si>
  <si>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</si>
  <si>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</si>
  <si>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</si>
  <si>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</si>
  <si>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</si>
  <si>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</si>
  <si>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</si>
  <si>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</si>
  <si>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</si>
  <si>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</si>
  <si>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</si>
  <si>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</si>
  <si>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</si>
  <si>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</si>
  <si>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</si>
  <si>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</si>
  <si>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</si>
  <si>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</si>
  <si>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</si>
  <si>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</si>
  <si>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</si>
  <si>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</si>
  <si>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</si>
  <si>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</si>
  <si>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</si>
  <si>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</si>
  <si>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</si>
  <si>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</si>
  <si>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</si>
  <si>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</si>
  <si>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</si>
  <si>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</si>
  <si>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</si>
  <si>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</si>
  <si>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</si>
  <si>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</si>
  <si>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</si>
  <si>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</si>
  <si>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</si>
  <si>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</si>
  <si>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</si>
  <si>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</si>
  <si>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</si>
  <si>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</si>
  <si>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</si>
  <si>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</si>
  <si>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</si>
  <si>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</si>
  <si>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</si>
  <si>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</si>
  <si>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</si>
  <si>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</si>
  <si>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</si>
  <si>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</si>
  <si>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</si>
  <si>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</si>
  <si>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</si>
  <si>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</si>
  <si>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</si>
  <si>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</si>
  <si>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</si>
  <si>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</si>
  <si>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</si>
  <si>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</si>
  <si>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</si>
  <si>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</si>
  <si>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</si>
  <si>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</si>
  <si>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</si>
  <si>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</si>
  <si>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</si>
  <si>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</si>
  <si>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</si>
  <si>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</si>
  <si>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</si>
  <si>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</si>
  <si>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</si>
  <si>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</si>
  <si>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</si>
  <si>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</si>
  <si>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</si>
  <si>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</si>
  <si>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</si>
  <si>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</si>
  <si>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</si>
  <si>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</si>
  <si>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</si>
  <si>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</si>
  <si>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</si>
  <si>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</si>
  <si>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</si>
  <si>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</si>
  <si>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</si>
  <si>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</si>
  <si>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</si>
  <si>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</si>
  <si>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</si>
  <si>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</si>
  <si>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</si>
  <si>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</si>
  <si>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</si>
  <si>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</si>
  <si>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</si>
  <si>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</si>
  <si>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</si>
  <si>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</si>
  <si>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</si>
  <si>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</si>
  <si>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</si>
  <si>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</si>
  <si>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</si>
  <si>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</si>
  <si>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</si>
  <si>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</si>
  <si>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</si>
  <si>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</si>
  <si>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</si>
  <si>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</si>
  <si>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</si>
  <si>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</si>
  <si>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</si>
  <si>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</si>
  <si>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</si>
  <si>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</si>
  <si>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</si>
  <si>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</si>
  <si>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</si>
  <si>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</si>
  <si>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</si>
  <si>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</si>
  <si>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</si>
  <si>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</si>
  <si>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</si>
  <si>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</si>
  <si>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</si>
  <si>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</si>
  <si>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</si>
  <si>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</si>
  <si>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</si>
  <si>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</si>
  <si>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</si>
  <si>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</si>
  <si>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</si>
  <si>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</si>
  <si>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</si>
  <si>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</si>
  <si>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</si>
  <si>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</si>
  <si>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</si>
  <si>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</si>
  <si>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</si>
  <si>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</si>
  <si>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</si>
  <si>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</si>
  <si>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</si>
  <si>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</si>
  <si>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</si>
  <si>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</si>
  <si>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</si>
  <si>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</si>
  <si>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</si>
  <si>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</si>
  <si>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</si>
  <si>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</si>
  <si>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</si>
  <si>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</si>
  <si>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</si>
  <si>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</si>
  <si>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</si>
  <si>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</si>
  <si>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</si>
  <si>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</si>
  <si>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</si>
  <si>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</si>
  <si>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</si>
  <si>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</si>
  <si>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</si>
  <si>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</si>
  <si>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</si>
  <si>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</si>
  <si>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</si>
  <si>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</si>
  <si>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</si>
  <si>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</si>
  <si>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</si>
  <si>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</si>
  <si>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</si>
  <si>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</si>
  <si>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</si>
  <si>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</si>
  <si>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</si>
  <si>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</si>
  <si>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</si>
  <si>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</si>
  <si>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</si>
  <si>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</si>
  <si>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</si>
  <si>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</si>
  <si>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</si>
  <si>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</si>
  <si>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</si>
  <si>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</si>
  <si>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</si>
  <si>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</si>
  <si>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</si>
  <si>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</si>
  <si>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</si>
  <si>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</si>
  <si>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</si>
  <si>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</si>
  <si>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</si>
  <si>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</si>
  <si>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</si>
  <si>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</si>
  <si>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</si>
  <si>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</si>
  <si>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</si>
  <si>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</si>
  <si>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</si>
  <si>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</si>
  <si>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</si>
  <si>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</si>
  <si>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</si>
  <si>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</si>
  <si>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</si>
  <si>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</si>
  <si>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</si>
  <si>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</si>
  <si>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</si>
  <si>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</si>
  <si>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</si>
  <si>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</si>
  <si>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</si>
  <si>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</si>
  <si>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</si>
  <si>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</si>
  <si>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</si>
  <si>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</si>
  <si>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</si>
  <si>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</si>
  <si>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</si>
  <si>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</si>
  <si>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</si>
  <si>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</si>
  <si>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</si>
  <si>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</si>
  <si>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</si>
  <si>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</si>
  <si>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</si>
  <si>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</si>
  <si>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</si>
  <si>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</si>
  <si>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</si>
  <si>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</si>
  <si>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</si>
  <si>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</si>
  <si>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</si>
  <si>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</si>
  <si>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</si>
  <si>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</si>
  <si>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</si>
  <si>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</si>
  <si>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</si>
  <si>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</si>
  <si>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</si>
  <si>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</si>
  <si>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</si>
  <si>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</si>
  <si>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</si>
  <si>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</si>
  <si>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</si>
  <si>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</si>
  <si>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</si>
  <si>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</si>
  <si>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</si>
  <si>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</si>
  <si>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</si>
  <si>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</si>
  <si>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</si>
  <si>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</si>
  <si>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</si>
  <si>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</si>
  <si>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</si>
  <si>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</si>
  <si>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</si>
  <si>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</si>
  <si>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</si>
  <si>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</si>
  <si>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</si>
  <si>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</si>
  <si>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</si>
  <si>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</si>
  <si>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</si>
  <si>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</si>
  <si>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</si>
  <si>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</si>
  <si>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</si>
  <si>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</si>
  <si>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</si>
  <si>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</si>
  <si>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</si>
  <si>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</si>
  <si>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</si>
  <si>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</si>
  <si>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</si>
  <si>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</si>
  <si>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</si>
  <si>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</si>
  <si>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</si>
  <si>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</si>
  <si>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</si>
  <si>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</si>
  <si>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</si>
  <si>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</si>
  <si>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</si>
  <si>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</si>
  <si>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</si>
  <si>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</si>
  <si>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</si>
  <si>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</si>
  <si>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</si>
  <si>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</si>
  <si>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</si>
  <si>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</si>
  <si>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</si>
  <si>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</si>
  <si>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</si>
  <si>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</si>
  <si>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</si>
  <si>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</si>
  <si>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</si>
  <si>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</si>
  <si>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</si>
  <si>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</si>
  <si>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</si>
  <si>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</si>
  <si>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</si>
  <si>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</si>
  <si>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</si>
  <si>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</si>
  <si>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</si>
  <si>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</si>
  <si>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</si>
  <si>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</si>
  <si>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</si>
  <si>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</si>
  <si>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</si>
  <si>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</si>
  <si>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</si>
  <si>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</si>
  <si>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</si>
  <si>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</si>
  <si>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</si>
  <si>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</si>
  <si>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</si>
  <si>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</si>
  <si>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</si>
  <si>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</si>
  <si>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</si>
  <si>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</si>
  <si>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</si>
  <si>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</si>
  <si>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</si>
  <si>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</si>
  <si>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</si>
  <si>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</si>
  <si>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</si>
  <si>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</si>
  <si>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</si>
  <si>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</si>
  <si>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</si>
  <si>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</si>
  <si>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</si>
  <si>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</si>
  <si>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</si>
  <si>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</si>
  <si>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</si>
  <si>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</si>
  <si>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</si>
  <si>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</si>
  <si>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</si>
  <si>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</si>
  <si>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</si>
  <si>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</si>
  <si>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</si>
  <si>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</si>
  <si>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</si>
  <si>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</si>
  <si>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</si>
  <si>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</si>
  <si>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</si>
  <si>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</si>
  <si>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</si>
  <si>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</si>
  <si>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</si>
  <si>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</si>
  <si>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</si>
  <si>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</si>
  <si>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</si>
  <si>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</si>
  <si>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</si>
  <si>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</si>
  <si>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</si>
  <si>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</si>
  <si>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</si>
  <si>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</si>
  <si>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</si>
  <si>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</si>
  <si>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</si>
  <si>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</si>
  <si>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</si>
  <si>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</si>
  <si>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</si>
  <si>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</si>
  <si>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</si>
  <si>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</si>
  <si>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</si>
  <si>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</si>
  <si>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</si>
  <si>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</si>
  <si>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</si>
  <si>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</si>
  <si>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</si>
  <si>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</si>
  <si>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</si>
  <si>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</si>
  <si>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</si>
  <si>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</si>
  <si>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</si>
  <si>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</si>
  <si>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</si>
  <si>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</si>
  <si>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</si>
  <si>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</si>
  <si>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</si>
  <si>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</si>
  <si>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</si>
  <si>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</si>
  <si>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</si>
  <si>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</si>
  <si>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</si>
  <si>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</si>
  <si>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</si>
  <si>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</si>
  <si>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</si>
  <si>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</si>
  <si>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</si>
  <si>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</si>
  <si>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</si>
  <si>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</si>
  <si>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</si>
  <si>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</si>
  <si>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</si>
  <si>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</si>
  <si>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</si>
  <si>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</si>
  <si>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</si>
  <si>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</si>
  <si>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</si>
  <si>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</si>
  <si>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</si>
  <si>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</si>
  <si>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</si>
  <si>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</si>
  <si>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</si>
  <si>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</si>
  <si>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</si>
  <si>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</si>
  <si>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</si>
  <si>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</si>
  <si>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</si>
  <si>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</si>
  <si>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</si>
  <si>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</si>
  <si>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</si>
  <si>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</si>
  <si>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</si>
  <si>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</si>
  <si>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</si>
  <si>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</si>
  <si>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</si>
  <si>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</si>
  <si>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</si>
  <si>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</si>
  <si>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</si>
  <si>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</si>
  <si>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</si>
  <si>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</si>
  <si>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</si>
  <si>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</si>
  <si>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</si>
  <si>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</si>
  <si>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</si>
  <si>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</si>
  <si>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</si>
  <si>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</si>
  <si>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</si>
  <si>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</si>
  <si>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</si>
  <si>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</si>
  <si>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</si>
  <si>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</si>
  <si>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</si>
  <si>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</si>
  <si>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</si>
  <si>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</si>
  <si>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</si>
  <si>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</si>
  <si>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</si>
  <si>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</si>
  <si>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</si>
  <si>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</si>
  <si>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</si>
  <si>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</si>
  <si>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</si>
  <si>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</si>
  <si>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</si>
  <si>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</si>
  <si>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</si>
  <si>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</si>
  <si>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</si>
  <si>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</si>
  <si>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</si>
  <si>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</si>
  <si>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</si>
  <si>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</si>
  <si>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</si>
  <si>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</si>
  <si>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</si>
  <si>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</si>
  <si>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</si>
  <si>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</si>
  <si>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</si>
  <si>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</si>
  <si>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</si>
  <si>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</si>
  <si>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</si>
  <si>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</si>
  <si>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</si>
  <si>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</si>
  <si>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</si>
  <si>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</si>
  <si>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</si>
  <si>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</si>
  <si>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</si>
  <si>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</si>
  <si>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</si>
  <si>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</si>
  <si>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</si>
  <si>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</si>
  <si>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</si>
  <si>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</si>
  <si>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</si>
  <si>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</si>
  <si>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</si>
  <si>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</si>
  <si>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</si>
  <si>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</si>
  <si>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</si>
  <si>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</si>
  <si>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</si>
  <si>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</si>
  <si>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</si>
  <si>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</si>
  <si>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</si>
  <si>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</si>
  <si>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</si>
  <si>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</si>
  <si>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</si>
  <si>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</si>
  <si>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</si>
  <si>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</si>
  <si>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</si>
  <si>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</si>
  <si>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</si>
  <si>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</si>
  <si>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</si>
  <si>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</si>
  <si>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</si>
  <si>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</si>
  <si>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</si>
  <si>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</si>
  <si>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</si>
  <si>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</si>
  <si>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</si>
  <si>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</si>
  <si>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</si>
  <si>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</si>
  <si>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</si>
  <si>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</si>
  <si>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</si>
  <si>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</si>
  <si>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</si>
  <si>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</si>
  <si>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</si>
  <si>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</si>
  <si>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</si>
  <si>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</si>
  <si>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</si>
  <si>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</si>
  <si>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</si>
  <si>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</si>
  <si>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</si>
  <si>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</si>
  <si>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</si>
  <si>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</si>
  <si>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</si>
  <si>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</si>
  <si>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</si>
  <si>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</si>
  <si>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</si>
  <si>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</si>
  <si>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</si>
  <si>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</si>
  <si>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</si>
  <si>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</si>
  <si>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</si>
  <si>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</si>
  <si>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</si>
  <si>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</si>
  <si>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</si>
  <si>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</si>
  <si>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</si>
  <si>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</si>
  <si>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</si>
  <si>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</si>
  <si>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</si>
  <si>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</si>
  <si>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</si>
  <si>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</si>
  <si>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</si>
  <si>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</si>
  <si>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</si>
  <si>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</si>
  <si>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</si>
  <si>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</si>
  <si>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</si>
  <si>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</si>
  <si>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</si>
  <si>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</si>
  <si>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</si>
  <si>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</si>
  <si>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</si>
  <si>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</si>
  <si>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</si>
  <si>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</si>
  <si>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</si>
  <si>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</si>
  <si>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</si>
  <si>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</si>
  <si>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</si>
  <si>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</si>
  <si>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</si>
  <si>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</si>
  <si>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</si>
  <si>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</si>
  <si>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</si>
  <si>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</si>
  <si>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</si>
  <si>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</si>
  <si>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</si>
  <si>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</si>
  <si>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</si>
  <si>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</si>
  <si>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</si>
  <si>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</si>
  <si>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</si>
  <si>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</si>
  <si>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</si>
  <si>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</si>
  <si>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</si>
  <si>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</si>
  <si>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</si>
  <si>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</si>
  <si>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</si>
  <si>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</si>
  <si>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</si>
  <si>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</si>
  <si>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</si>
  <si>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</si>
  <si>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</si>
  <si>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</si>
  <si>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</si>
  <si>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</si>
  <si>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</si>
  <si>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</si>
  <si>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</si>
  <si>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</si>
  <si>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</si>
  <si>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</si>
  <si>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</si>
  <si>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</si>
  <si>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</si>
  <si>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</si>
  <si>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</si>
  <si>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</si>
  <si>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</si>
  <si>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</si>
  <si>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</si>
  <si>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</si>
  <si>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</si>
  <si>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</si>
  <si>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</si>
  <si>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</si>
  <si>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</si>
  <si>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</si>
  <si>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</si>
  <si>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</si>
  <si>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</si>
  <si>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</si>
  <si>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</si>
  <si>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</si>
  <si>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</si>
  <si>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</si>
  <si>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</si>
  <si>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</si>
  <si>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</si>
  <si>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</si>
  <si>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</si>
  <si>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</si>
  <si>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</si>
  <si>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</si>
  <si>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</si>
  <si>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</si>
  <si>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</si>
  <si>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</si>
  <si>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</si>
  <si>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</si>
  <si>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</si>
  <si>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</si>
  <si>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</si>
  <si>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</si>
  <si>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</si>
  <si>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</si>
  <si>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</si>
  <si>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</si>
  <si>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</si>
  <si>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</si>
  <si>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</si>
  <si>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</si>
  <si>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</si>
  <si>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</si>
  <si>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</si>
  <si>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</si>
  <si>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</si>
  <si>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</si>
  <si>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</si>
  <si>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</si>
  <si>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</si>
  <si>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</si>
  <si>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</si>
  <si>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</si>
  <si>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</si>
  <si>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</si>
  <si>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</si>
  <si>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</si>
  <si>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</si>
  <si>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</si>
  <si>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</si>
  <si>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</si>
  <si>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</si>
  <si>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</si>
  <si>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</si>
  <si>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</si>
  <si>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</si>
  <si>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</si>
  <si>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</si>
  <si>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</si>
  <si>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</si>
  <si>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</si>
  <si>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</si>
  <si>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</si>
  <si>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</si>
  <si>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</si>
  <si>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</si>
  <si>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</si>
  <si>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</si>
  <si>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</si>
  <si>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</si>
  <si>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</si>
  <si>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</si>
  <si>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</si>
  <si>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</si>
  <si>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</si>
  <si>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</si>
  <si>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</si>
  <si>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</si>
  <si>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</si>
  <si>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</si>
  <si>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</si>
  <si>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</si>
  <si>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</si>
  <si>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</si>
  <si>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</si>
  <si>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</si>
  <si>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</si>
  <si>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</si>
  <si>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</si>
  <si>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</si>
  <si>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</si>
  <si>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</si>
  <si>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</si>
  <si>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</si>
  <si>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</si>
  <si>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</si>
  <si>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</si>
  <si>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</si>
  <si>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</si>
  <si>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</si>
  <si>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</si>
  <si>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</si>
  <si>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</si>
  <si>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</si>
  <si>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</si>
  <si>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</si>
  <si>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</si>
  <si>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</si>
  <si>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</si>
  <si>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</si>
  <si>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</si>
  <si>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</si>
  <si>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</si>
  <si>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</si>
  <si>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</si>
  <si>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</si>
  <si>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</si>
  <si>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</si>
  <si>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</si>
  <si>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</si>
  <si>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</si>
  <si>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</si>
  <si>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</si>
  <si>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</si>
  <si>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</si>
  <si>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</si>
  <si>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</si>
  <si>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</si>
  <si>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</si>
  <si>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</si>
  <si>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</si>
  <si>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</si>
  <si>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</si>
  <si>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</si>
  <si>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</si>
  <si>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</si>
  <si>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</si>
  <si>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</si>
  <si>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</si>
  <si>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</si>
  <si>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</si>
  <si>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</si>
  <si>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</si>
  <si>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</si>
  <si>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</si>
  <si>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</si>
  <si>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</si>
  <si>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</si>
  <si>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</si>
  <si>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</si>
  <si>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</si>
  <si>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</si>
  <si>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</si>
  <si>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</si>
  <si>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</si>
  <si>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</si>
  <si>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</si>
  <si>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</si>
  <si>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</si>
  <si>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</si>
  <si>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</si>
  <si>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</si>
  <si>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</si>
  <si>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</si>
  <si>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</si>
  <si>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</si>
  <si>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</si>
  <si>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</si>
  <si>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</si>
  <si>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</si>
  <si>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</si>
  <si>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</si>
  <si>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</si>
  <si>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</si>
  <si>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</si>
  <si>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</si>
  <si>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</si>
  <si>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</si>
  <si>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</si>
  <si>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</si>
  <si>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</si>
  <si>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</si>
  <si>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</si>
  <si>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</si>
  <si>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</si>
  <si>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</si>
  <si>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</si>
  <si>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</si>
  <si>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</si>
  <si>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</si>
  <si>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</si>
  <si>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</si>
  <si>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</si>
  <si>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</si>
  <si>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</si>
  <si>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</si>
  <si>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</si>
  <si>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</si>
  <si>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</si>
  <si>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</si>
  <si>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</si>
  <si>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</si>
  <si>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</si>
  <si>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</si>
  <si>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</si>
  <si>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</si>
  <si>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</si>
  <si>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</si>
  <si>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</si>
  <si>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</si>
  <si>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</si>
  <si>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</si>
  <si>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</si>
  <si>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</si>
  <si>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</si>
  <si>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</si>
  <si>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</si>
  <si>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</si>
  <si>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</si>
  <si>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</si>
  <si>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</si>
  <si>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</si>
  <si>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</si>
  <si>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</si>
  <si>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</si>
  <si>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</si>
  <si>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</si>
  <si>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</si>
  <si>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</si>
  <si>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</si>
  <si>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</si>
  <si>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</si>
  <si>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</si>
  <si>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</si>
  <si>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</si>
  <si>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</si>
  <si>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</si>
  <si>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</si>
  <si>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</si>
  <si>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</si>
  <si>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</si>
  <si>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</si>
  <si>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</si>
  <si>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</si>
  <si>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</si>
  <si>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</si>
  <si>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</si>
  <si>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</si>
  <si>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</si>
  <si>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</si>
  <si>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</si>
  <si>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</si>
  <si>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</si>
  <si>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</si>
  <si>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</si>
  <si>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</si>
  <si>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</si>
  <si>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</si>
  <si>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</si>
  <si>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</si>
  <si>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</si>
  <si>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</si>
  <si>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</si>
  <si>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</si>
  <si>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</si>
  <si>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</si>
  <si>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</si>
  <si>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</si>
  <si>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</si>
  <si>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</si>
  <si>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</si>
  <si>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</si>
  <si>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</si>
  <si>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</si>
  <si>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</si>
  <si>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</si>
  <si>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</si>
  <si>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</si>
  <si>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</si>
  <si>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</si>
  <si>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</si>
  <si>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</si>
  <si>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</si>
  <si>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</si>
  <si>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</si>
  <si>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</si>
  <si>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</si>
  <si>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</si>
  <si>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</si>
  <si>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</si>
  <si>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</si>
  <si>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</si>
  <si>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</si>
  <si>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</si>
  <si>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</si>
  <si>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</si>
  <si>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</si>
  <si>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</si>
  <si>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</si>
  <si>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</si>
  <si>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</si>
  <si>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</si>
  <si>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</si>
  <si>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</si>
  <si>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</si>
  <si>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</si>
  <si>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</si>
  <si>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</si>
  <si>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</si>
  <si>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</si>
  <si>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</si>
  <si>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</si>
  <si>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</si>
  <si>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</si>
  <si>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</si>
  <si>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</si>
  <si>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</si>
  <si>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</si>
  <si>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</si>
  <si>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</si>
  <si>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</si>
  <si>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</si>
  <si>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</si>
  <si>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</si>
  <si>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</si>
  <si>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</si>
  <si>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</si>
  <si>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</si>
  <si>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</si>
  <si>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</si>
  <si>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</si>
  <si>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</si>
  <si>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</si>
  <si>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</si>
  <si>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</si>
  <si>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</si>
  <si>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</si>
  <si>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</si>
  <si>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</si>
  <si>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</si>
  <si>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</si>
  <si>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</si>
  <si>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</si>
  <si>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</si>
  <si>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</si>
  <si>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</si>
  <si>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</si>
  <si>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</si>
  <si>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</si>
  <si>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</si>
  <si>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</si>
  <si>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</si>
  <si>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</si>
  <si>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</si>
  <si>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</si>
  <si>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</si>
  <si>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</si>
  <si>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</si>
  <si>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</si>
  <si>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</si>
  <si>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</si>
  <si>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</si>
  <si>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</si>
  <si>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</si>
  <si>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</si>
  <si>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</si>
  <si>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</si>
  <si>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</si>
  <si>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</si>
  <si>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</si>
  <si>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</si>
  <si>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</si>
  <si>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</si>
  <si>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</si>
  <si>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</si>
  <si>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</si>
  <si>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</si>
  <si>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</si>
  <si>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</si>
  <si>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</si>
  <si>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</si>
  <si>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</si>
  <si>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</si>
  <si>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</si>
  <si>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</si>
  <si>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</si>
  <si>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</si>
  <si>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</si>
  <si>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</si>
  <si>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</si>
  <si>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</si>
  <si>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</si>
  <si>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</si>
  <si>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</si>
  <si>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</si>
  <si>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</si>
  <si>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</si>
  <si>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</si>
  <si>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</si>
  <si>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</si>
  <si>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</si>
  <si>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</si>
  <si>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</si>
  <si>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</si>
  <si>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</si>
  <si>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</si>
  <si>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</si>
  <si>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</si>
  <si>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</si>
  <si>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</si>
  <si>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</si>
  <si>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</si>
  <si>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</si>
  <si>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</si>
  <si>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</si>
  <si>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</si>
  <si>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</si>
  <si>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</si>
  <si>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</si>
  <si>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</si>
  <si>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</si>
  <si>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</si>
  <si>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</si>
  <si>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</si>
  <si>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</si>
  <si>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</si>
  <si>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</si>
  <si>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</si>
  <si>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</si>
  <si>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</si>
  <si>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</si>
  <si>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</si>
  <si>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</si>
  <si>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</si>
  <si>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</si>
  <si>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</si>
  <si>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</si>
  <si>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</si>
  <si>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</si>
  <si>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</si>
  <si>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</si>
  <si>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</si>
  <si>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</si>
  <si>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</si>
  <si>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</si>
  <si>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</si>
  <si>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</si>
  <si>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</si>
  <si>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</si>
  <si>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</si>
  <si>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</si>
  <si>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</si>
  <si>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</si>
  <si>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</si>
  <si>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</si>
  <si>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</si>
  <si>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</si>
  <si>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</si>
  <si>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</si>
  <si>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</si>
  <si>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</si>
  <si>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</si>
  <si>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</si>
  <si>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</si>
  <si>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</si>
  <si>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</si>
  <si>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</si>
  <si>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</si>
  <si>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</si>
  <si>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</si>
  <si>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</si>
  <si>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</si>
  <si>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</si>
  <si>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</si>
  <si>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</si>
  <si>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</si>
  <si>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</si>
  <si>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</si>
  <si>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</si>
  <si>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</si>
  <si>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</si>
  <si>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</si>
  <si>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</si>
  <si>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</si>
  <si>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</si>
  <si>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</si>
  <si>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</si>
  <si>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</si>
  <si>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</si>
  <si>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</si>
  <si>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</si>
  <si>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</si>
  <si>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</si>
  <si>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</si>
  <si>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</si>
  <si>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</si>
  <si>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</si>
  <si>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</si>
  <si>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</si>
  <si>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</si>
  <si>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</si>
  <si>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</si>
  <si>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</si>
  <si>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</si>
  <si>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</si>
  <si>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</si>
  <si>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</si>
  <si>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</si>
  <si>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</si>
  <si>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</si>
  <si>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</si>
  <si>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</si>
  <si>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</si>
  <si>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</si>
  <si>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</si>
  <si>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</si>
  <si>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</si>
  <si>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</si>
  <si>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</si>
  <si>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</si>
  <si>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</si>
  <si>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</si>
  <si>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</si>
  <si>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</si>
  <si>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</si>
  <si>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</si>
  <si>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</si>
  <si>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</si>
  <si>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</si>
  <si>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</si>
  <si>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</si>
  <si>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</si>
  <si>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</si>
  <si>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</si>
  <si>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</si>
  <si>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</si>
  <si>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</si>
  <si>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</si>
  <si>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</si>
  <si>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</si>
  <si>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</si>
  <si>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</si>
  <si>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</si>
  <si>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</si>
  <si>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</si>
  <si>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</si>
  <si>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</si>
  <si>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</si>
  <si>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</si>
  <si>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</si>
  <si>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</si>
  <si>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</si>
  <si>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</si>
  <si>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</si>
  <si>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</si>
  <si>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</si>
  <si>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</si>
  <si>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</si>
  <si>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</si>
  <si>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</si>
  <si>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</si>
  <si>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</si>
  <si>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</si>
  <si>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</si>
  <si>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</si>
  <si>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</si>
  <si>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</si>
  <si>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</si>
  <si>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</si>
  <si>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</si>
  <si>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</si>
  <si>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</si>
  <si>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</si>
  <si>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</si>
  <si>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</si>
  <si>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</si>
  <si>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</si>
  <si>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</si>
  <si>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</si>
  <si>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</si>
  <si>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</si>
  <si>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</si>
  <si>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</si>
  <si>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</si>
  <si>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</si>
  <si>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</si>
  <si>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</si>
  <si>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</si>
  <si>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</si>
  <si>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</si>
  <si>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</si>
  <si>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</si>
  <si>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</si>
  <si>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</si>
  <si>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</si>
  <si>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</si>
  <si>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</si>
  <si>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</si>
  <si>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</si>
  <si>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</si>
  <si>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</si>
  <si>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</si>
  <si>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</si>
  <si>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</si>
  <si>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</si>
  <si>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</si>
  <si>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</si>
  <si>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</si>
  <si>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</si>
  <si>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</si>
  <si>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</si>
  <si>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</si>
  <si>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</si>
  <si>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</si>
  <si>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</si>
  <si>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</si>
  <si>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</si>
  <si>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</si>
  <si>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</si>
  <si>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</si>
  <si>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</si>
  <si>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</si>
  <si>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</si>
  <si>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</si>
  <si>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</si>
  <si>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</si>
  <si>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</si>
  <si>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</si>
  <si>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</si>
  <si>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</si>
  <si>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</si>
  <si>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</si>
  <si>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</si>
  <si>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</si>
  <si>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</si>
  <si>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</si>
  <si>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</si>
  <si>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</si>
  <si>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</si>
  <si>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</si>
  <si>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</si>
  <si>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</si>
  <si>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</si>
  <si>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</si>
  <si>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</si>
  <si>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</si>
  <si>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</si>
  <si>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</si>
  <si>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</si>
  <si>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</si>
  <si>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</si>
  <si>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</si>
  <si>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</si>
  <si>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</si>
  <si>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</si>
  <si>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</si>
  <si>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</si>
  <si>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</si>
  <si>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</si>
  <si>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</si>
  <si>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</si>
  <si>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</si>
  <si>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</si>
  <si>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</si>
  <si>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</si>
  <si>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</si>
  <si>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</si>
  <si>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</si>
  <si>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</si>
  <si>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</si>
  <si>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</si>
  <si>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</si>
  <si>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</si>
  <si>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</si>
  <si>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</si>
  <si>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</si>
  <si>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</si>
  <si>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</si>
  <si>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</si>
  <si>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</si>
  <si>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</si>
  <si>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</si>
  <si>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</si>
  <si>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</si>
  <si>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</si>
  <si>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</si>
  <si>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</si>
  <si>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</si>
  <si>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</si>
  <si>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</si>
  <si>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</si>
  <si>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</si>
  <si>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</si>
  <si>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</si>
  <si>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</si>
  <si>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</si>
  <si>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</si>
  <si>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</si>
  <si>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</si>
  <si>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</si>
  <si>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</si>
  <si>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</si>
  <si>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</si>
  <si>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</si>
  <si>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</si>
  <si>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</si>
  <si>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</si>
  <si>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</si>
  <si>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</si>
  <si>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</si>
  <si>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</si>
  <si>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</si>
  <si>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</si>
  <si>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</si>
  <si>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</si>
  <si>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</si>
  <si>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</si>
  <si>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</si>
  <si>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</si>
  <si>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</si>
  <si>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</si>
  <si>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</si>
  <si>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</si>
  <si>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</si>
  <si>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</si>
  <si>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</si>
  <si>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</si>
  <si>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</si>
  <si>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</si>
  <si>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</si>
  <si>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</si>
  <si>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</si>
  <si>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</si>
  <si>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</si>
  <si>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</si>
  <si>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</si>
  <si>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</si>
  <si>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</si>
  <si>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</si>
  <si>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</si>
  <si>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</si>
  <si>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</si>
  <si>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</si>
  <si>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</si>
  <si>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</si>
  <si>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</si>
  <si>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</si>
  <si>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</si>
  <si>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</si>
  <si>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</si>
  <si>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</si>
  <si>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</si>
  <si>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</si>
  <si>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</si>
  <si>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</si>
  <si>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</si>
  <si>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</si>
  <si>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</si>
  <si>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</si>
  <si>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</si>
  <si>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</si>
  <si>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</si>
  <si>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</si>
  <si>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</si>
  <si>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</si>
  <si>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</si>
  <si>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</si>
  <si>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</si>
  <si>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</si>
  <si>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</si>
  <si>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</si>
  <si>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</si>
  <si>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</si>
  <si>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</si>
  <si>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</si>
  <si>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</si>
  <si>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</si>
  <si>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</si>
  <si>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</si>
  <si>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</si>
  <si>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</si>
  <si>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</si>
  <si>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</si>
  <si>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</si>
  <si>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</si>
  <si>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</si>
  <si>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</si>
  <si>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</si>
  <si>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</si>
  <si>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</si>
  <si>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</si>
  <si>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</si>
  <si>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</si>
  <si>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</si>
  <si>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</si>
  <si>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</si>
  <si>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</si>
  <si>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</si>
  <si>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</si>
  <si>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</si>
  <si>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</si>
  <si>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</si>
  <si>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</si>
  <si>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</si>
  <si>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</si>
  <si>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</si>
  <si>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</si>
  <si>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</si>
  <si>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</si>
  <si>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</si>
  <si>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</si>
  <si>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</si>
  <si>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</si>
  <si>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</si>
  <si>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</si>
  <si>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</si>
  <si>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</si>
  <si>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</si>
  <si>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</si>
  <si>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</si>
  <si>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</si>
  <si>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</si>
  <si>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</si>
  <si>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</si>
  <si>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</si>
  <si>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</si>
  <si>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</si>
  <si>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</si>
  <si>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</si>
  <si>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</si>
  <si>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</si>
  <si>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</si>
  <si>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</si>
  <si>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</si>
  <si>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</si>
  <si>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</si>
  <si>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</si>
  <si>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</si>
  <si>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</si>
  <si>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</si>
  <si>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</si>
  <si>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</si>
  <si>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</si>
  <si>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</si>
  <si>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</si>
  <si>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</si>
  <si>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</si>
  <si>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</si>
  <si>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</si>
  <si>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</si>
  <si>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</si>
  <si>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</si>
  <si>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</si>
  <si>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</si>
  <si>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</si>
  <si>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</si>
  <si>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</si>
  <si>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</si>
  <si>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</si>
  <si>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</si>
  <si>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</si>
  <si>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</si>
  <si>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</si>
  <si>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</si>
  <si>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</si>
  <si>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</si>
  <si>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</si>
  <si>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</si>
  <si>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</si>
  <si>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</si>
  <si>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</si>
  <si>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</si>
  <si>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</si>
  <si>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</si>
  <si>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</si>
  <si>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</si>
  <si>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</si>
  <si>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</si>
  <si>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</si>
  <si>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</si>
  <si>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</si>
  <si>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</si>
  <si>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</si>
  <si>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</si>
  <si>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</si>
  <si>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</si>
  <si>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</si>
  <si>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</si>
  <si>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</si>
  <si>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</si>
  <si>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</si>
  <si>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</si>
  <si>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</si>
  <si>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</si>
  <si>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</si>
  <si>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</si>
  <si>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</si>
  <si>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</si>
  <si>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</si>
  <si>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</si>
  <si>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</si>
  <si>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</si>
  <si>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</si>
  <si>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</si>
  <si>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</si>
  <si>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</si>
  <si>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</si>
  <si>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</si>
  <si>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</si>
  <si>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</si>
  <si>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</si>
  <si>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</si>
  <si>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</si>
  <si>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</si>
  <si>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</si>
  <si>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</si>
  <si>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</si>
  <si>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</si>
  <si>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</si>
  <si>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</si>
  <si>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</si>
  <si>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</si>
  <si>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</si>
  <si>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</si>
  <si>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</si>
  <si>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</si>
  <si>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</si>
  <si>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</si>
  <si>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</si>
  <si>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</si>
  <si>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</si>
  <si>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</si>
  <si>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</si>
  <si>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</si>
  <si>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</si>
  <si>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</si>
  <si>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</si>
  <si>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</si>
  <si>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</si>
  <si>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</si>
  <si>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</si>
  <si>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</si>
  <si>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</si>
  <si>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</si>
  <si>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</si>
  <si>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</si>
  <si>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</si>
  <si>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</si>
  <si>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</si>
  <si>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</si>
  <si>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</si>
  <si>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</si>
  <si>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</si>
  <si>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</si>
  <si>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</si>
  <si>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</si>
  <si>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</si>
  <si>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</si>
  <si>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</si>
  <si>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</si>
  <si>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</si>
  <si>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</si>
  <si>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</si>
  <si>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</si>
  <si>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</si>
  <si>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</si>
  <si>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</si>
  <si>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</si>
  <si>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</si>
  <si>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</si>
  <si>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</si>
  <si>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</si>
  <si>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</si>
  <si>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</si>
  <si>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</si>
  <si>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</si>
  <si>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</si>
  <si>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</si>
  <si>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</si>
  <si>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</si>
  <si>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</si>
  <si>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</si>
  <si>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</si>
  <si>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</si>
  <si>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</si>
  <si>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</si>
  <si>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</si>
  <si>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</si>
  <si>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</si>
  <si>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</si>
  <si>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</si>
  <si>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</si>
  <si>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</si>
  <si>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</si>
  <si>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</si>
  <si>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</si>
  <si>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</si>
  <si>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</si>
  <si>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</si>
  <si>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</si>
  <si>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</si>
  <si>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</si>
  <si>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</si>
  <si>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</si>
  <si>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</si>
  <si>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</si>
  <si>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</si>
  <si>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</si>
  <si>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</si>
  <si>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</si>
  <si>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</si>
  <si>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</si>
  <si>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</si>
  <si>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</si>
  <si>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</si>
  <si>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</si>
  <si>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</si>
  <si>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</si>
  <si>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</si>
  <si>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</si>
  <si>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</si>
  <si>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</si>
  <si>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</si>
  <si>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</si>
  <si>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</si>
  <si>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</si>
  <si>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</si>
  <si>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</si>
  <si>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</si>
  <si>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</si>
  <si>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</si>
  <si>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</si>
  <si>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</si>
  <si>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</si>
  <si>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</si>
  <si>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</si>
  <si>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</si>
  <si>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</si>
  <si>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</si>
  <si>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</si>
  <si>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</si>
  <si>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</si>
  <si>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</si>
  <si>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</si>
  <si>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</si>
  <si>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</si>
  <si>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</si>
  <si>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</si>
  <si>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</si>
  <si>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</si>
  <si>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</si>
  <si>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</si>
  <si>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</si>
  <si>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</si>
  <si>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</si>
  <si>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</si>
  <si>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</si>
  <si>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</si>
  <si>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</si>
  <si>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</si>
  <si>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</si>
  <si>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</si>
  <si>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</si>
  <si>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</si>
  <si>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</si>
  <si>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</si>
  <si>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</si>
  <si>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</si>
  <si>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</si>
  <si>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</si>
  <si>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</si>
  <si>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</si>
  <si>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</si>
  <si>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</si>
  <si>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</si>
  <si>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</si>
  <si>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</si>
  <si>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</si>
  <si>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</si>
  <si>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</si>
  <si>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</si>
  <si>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</si>
  <si>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</si>
  <si>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</si>
  <si>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</si>
  <si>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</si>
  <si>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</si>
  <si>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</si>
  <si>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</si>
  <si>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</si>
  <si>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</si>
  <si>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</si>
  <si>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</si>
  <si>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</si>
  <si>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</si>
  <si>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</si>
  <si>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</si>
  <si>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</si>
  <si>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</si>
  <si>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</si>
  <si>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</si>
  <si>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</si>
  <si>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</si>
  <si>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</si>
  <si>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</si>
  <si>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</si>
  <si>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</si>
  <si>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</si>
  <si>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</si>
  <si>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</si>
  <si>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</si>
  <si>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</si>
  <si>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</si>
  <si>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</si>
  <si>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</si>
  <si>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</si>
  <si>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</si>
  <si>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</si>
  <si>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</si>
  <si>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</si>
  <si>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</si>
  <si>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</si>
  <si>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</si>
  <si>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</si>
  <si>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</si>
  <si>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</si>
  <si>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</si>
  <si>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</si>
  <si>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</si>
  <si>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</si>
  <si>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</si>
  <si>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</si>
  <si>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</si>
  <si>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</si>
  <si>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</si>
  <si>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</si>
  <si>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</si>
  <si>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</si>
  <si>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</si>
  <si>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</si>
  <si>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</si>
  <si>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</si>
  <si>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</si>
  <si>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</si>
  <si>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</si>
  <si>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</si>
  <si>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</si>
  <si>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</si>
  <si>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</si>
  <si>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</si>
  <si>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</si>
  <si>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</si>
  <si>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</si>
  <si>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</si>
  <si>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</si>
  <si>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</si>
  <si>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</si>
  <si>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</si>
  <si>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</si>
  <si>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</si>
  <si>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</si>
  <si>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</si>
  <si>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</si>
  <si>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</si>
  <si>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</si>
  <si>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</si>
  <si>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</si>
  <si>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</si>
  <si>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</si>
  <si>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</si>
  <si>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</si>
  <si>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</si>
  <si>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</si>
  <si>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</si>
  <si>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</si>
  <si>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</si>
  <si>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</si>
  <si>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</si>
  <si>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</si>
  <si>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</si>
  <si>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</si>
  <si>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</si>
  <si>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</si>
  <si>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</si>
  <si>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</si>
  <si>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</si>
  <si>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</si>
  <si>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</si>
  <si>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</si>
  <si>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</si>
  <si>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</si>
  <si>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</si>
  <si>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</si>
  <si>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</si>
  <si>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</si>
  <si>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</si>
  <si>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</si>
  <si>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</si>
  <si>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</si>
  <si>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</si>
  <si>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</si>
  <si>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</si>
  <si>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</si>
  <si>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</si>
  <si>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</si>
  <si>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</si>
  <si>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</si>
  <si>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</si>
  <si>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</si>
  <si>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</si>
  <si>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</si>
  <si>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</si>
  <si>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</si>
  <si>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</si>
  <si>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</si>
  <si>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</si>
  <si>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</si>
  <si>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</si>
  <si>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</si>
  <si>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</si>
  <si>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</si>
  <si>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</si>
  <si>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</si>
  <si>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</si>
  <si>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</si>
  <si>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</si>
  <si>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</si>
  <si>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</si>
  <si>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</si>
  <si>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</si>
  <si>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</si>
  <si>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</si>
  <si>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</si>
  <si>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</si>
  <si>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</si>
  <si>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</si>
  <si>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</si>
  <si>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</si>
  <si>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</si>
  <si>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</si>
  <si>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</si>
  <si>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</si>
  <si>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</si>
  <si>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</si>
  <si>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</si>
  <si>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</si>
  <si>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</si>
  <si>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</si>
  <si>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</si>
  <si>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</si>
  <si>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</si>
  <si>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</si>
  <si>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</si>
  <si>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</si>
  <si>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</si>
  <si>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</si>
  <si>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</si>
  <si>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</si>
  <si>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</si>
  <si>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</si>
  <si>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</si>
  <si>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</si>
  <si>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</si>
  <si>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</si>
  <si>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</si>
  <si>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</si>
  <si>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</si>
  <si>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</si>
  <si>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</si>
  <si>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</si>
  <si>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</si>
  <si>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</si>
  <si>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</si>
  <si>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</si>
  <si>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</si>
  <si>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</si>
  <si>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</si>
  <si>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</si>
  <si>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</si>
  <si>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</si>
  <si>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</si>
  <si>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</si>
  <si>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</si>
  <si>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</si>
  <si>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</si>
  <si>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</si>
  <si>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</si>
  <si>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</si>
  <si>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</si>
  <si>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</si>
  <si>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</si>
  <si>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</si>
  <si>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</si>
  <si>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</si>
  <si>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</si>
  <si>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</si>
  <si>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</si>
  <si>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</si>
  <si>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</si>
  <si>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</si>
  <si>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</si>
  <si>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</si>
  <si>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</si>
  <si>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</si>
  <si>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</si>
  <si>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</si>
  <si>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</si>
  <si>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</si>
  <si>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</si>
  <si>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</si>
  <si>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</si>
  <si>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</si>
  <si>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</si>
  <si>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</si>
  <si>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</si>
  <si>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</si>
  <si>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</si>
  <si>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</si>
  <si>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</si>
  <si>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</si>
  <si>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</si>
  <si>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</si>
  <si>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</si>
  <si>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</si>
  <si>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</si>
  <si>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</si>
  <si>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</si>
  <si>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</si>
  <si>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</si>
  <si>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</si>
  <si>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</si>
  <si>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</si>
  <si>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</si>
  <si>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</si>
  <si>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</si>
  <si>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</si>
  <si>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</si>
  <si>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</si>
  <si>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</si>
  <si>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</si>
  <si>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</si>
  <si>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</si>
  <si>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</si>
  <si>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</si>
  <si>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</si>
  <si>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</si>
  <si>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</si>
  <si>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</si>
  <si>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</si>
  <si>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</si>
  <si>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</si>
  <si>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</si>
  <si>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</si>
  <si>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</si>
  <si>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</si>
  <si>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</si>
  <si>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</si>
  <si>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</si>
  <si>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</si>
  <si>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</si>
  <si>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</si>
  <si>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</si>
  <si>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</si>
  <si>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</si>
  <si>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</si>
  <si>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</si>
  <si>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</si>
  <si>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</si>
  <si>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</si>
  <si>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</si>
  <si>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</si>
  <si>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</si>
  <si>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</si>
  <si>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</si>
  <si>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</si>
  <si>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</si>
  <si>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</si>
  <si>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</si>
  <si>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</si>
  <si>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</si>
  <si>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</si>
  <si>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</si>
  <si>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</si>
  <si>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</si>
  <si>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</si>
  <si>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</si>
  <si>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</si>
  <si>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</si>
  <si>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</si>
  <si>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</si>
  <si>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</si>
  <si>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</si>
  <si>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</si>
  <si>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</si>
  <si>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</si>
  <si>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</si>
  <si>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</si>
  <si>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</si>
  <si>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</si>
  <si>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</si>
  <si>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</si>
  <si>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</si>
  <si>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</si>
  <si>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</si>
  <si>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</si>
  <si>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</si>
  <si>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</si>
  <si>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</si>
  <si>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</si>
  <si>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</si>
  <si>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</si>
  <si>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</si>
  <si>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</si>
  <si>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</si>
  <si>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</si>
  <si>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</si>
  <si>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</si>
  <si>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</si>
  <si>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</si>
  <si>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</si>
  <si>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</si>
  <si>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</si>
  <si>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</si>
  <si>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</si>
  <si>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</si>
  <si>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</si>
  <si>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</si>
  <si>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</si>
  <si>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</si>
  <si>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</si>
  <si>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</si>
  <si>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</si>
  <si>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</si>
  <si>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</si>
  <si>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</si>
  <si>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</si>
  <si>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</si>
  <si>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</si>
  <si>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</si>
  <si>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</si>
  <si>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</si>
  <si>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</si>
  <si>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</si>
  <si>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</si>
  <si>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</si>
  <si>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</si>
  <si>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</si>
  <si>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</si>
  <si>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</si>
  <si>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</si>
  <si>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</si>
  <si>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</si>
  <si>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</si>
  <si>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</si>
  <si>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</si>
  <si>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</si>
  <si>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</si>
  <si>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</si>
  <si>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</si>
  <si>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</si>
  <si>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</si>
  <si>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</si>
  <si>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</si>
  <si>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</si>
  <si>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</si>
  <si>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</si>
  <si>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</si>
  <si>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</si>
  <si>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</si>
  <si>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</si>
  <si>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</si>
  <si>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</si>
  <si>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</si>
  <si>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</si>
  <si>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</si>
  <si>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</si>
  <si>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</si>
  <si>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</si>
  <si>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</si>
  <si>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</si>
  <si>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</si>
  <si>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</si>
  <si>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</si>
  <si>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</si>
  <si>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</si>
  <si>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</si>
  <si>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</si>
  <si>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</si>
  <si>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</si>
  <si>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</si>
  <si>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</si>
  <si>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</si>
  <si>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</si>
  <si>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</si>
  <si>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</si>
  <si>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</si>
  <si>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</si>
  <si>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</si>
  <si>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</si>
  <si>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</si>
  <si>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</si>
  <si>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</si>
  <si>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</si>
  <si>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</si>
  <si>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</si>
  <si>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</si>
  <si>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</si>
  <si>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</si>
  <si>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</si>
  <si>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</si>
  <si>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</si>
  <si>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</si>
  <si>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</si>
  <si>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</si>
  <si>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</si>
  <si>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</si>
  <si>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</si>
  <si>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</si>
  <si>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</si>
  <si>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</si>
  <si>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</si>
  <si>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</si>
  <si>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</si>
  <si>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</si>
  <si>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</si>
  <si>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</si>
  <si>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</si>
  <si>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</si>
  <si>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</si>
  <si>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</si>
  <si>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</si>
  <si>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</si>
  <si>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</si>
  <si>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</si>
  <si>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</si>
  <si>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</si>
  <si>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</si>
  <si>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</si>
  <si>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</si>
  <si>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</si>
  <si>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</si>
  <si>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</si>
  <si>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</si>
  <si>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</si>
  <si>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</si>
  <si>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</si>
  <si>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</si>
  <si>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</si>
  <si>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</si>
  <si>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</si>
  <si>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</si>
  <si>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</si>
  <si>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</si>
  <si>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</si>
  <si>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</si>
  <si>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</si>
  <si>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</si>
  <si>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</si>
  <si>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</si>
  <si>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</si>
  <si>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</si>
  <si>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</si>
  <si>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</si>
  <si>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</si>
  <si>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</si>
  <si>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</si>
  <si>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</si>
  <si>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</si>
  <si>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</si>
  <si>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</si>
  <si>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</si>
  <si>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</si>
  <si>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</si>
  <si>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</si>
  <si>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</si>
  <si>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</si>
  <si>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</si>
  <si>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</si>
  <si>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</si>
  <si>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</si>
  <si>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</si>
  <si>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</si>
  <si>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</si>
  <si>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</si>
  <si>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</si>
  <si>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</si>
  <si>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</si>
  <si>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</si>
  <si>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</si>
  <si>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</si>
  <si>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</si>
  <si>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</si>
  <si>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</si>
  <si>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</si>
  <si>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</si>
  <si>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</si>
  <si>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</si>
  <si>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</si>
  <si>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</si>
  <si>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</si>
  <si>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</si>
  <si>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</si>
  <si>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</si>
  <si>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</si>
  <si>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</si>
  <si>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</si>
  <si>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</si>
  <si>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</si>
  <si>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</si>
  <si>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</si>
  <si>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</si>
  <si>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</si>
  <si>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</si>
  <si>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</si>
  <si>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</si>
  <si>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</si>
  <si>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</si>
  <si>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</si>
  <si>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</si>
  <si>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</si>
  <si>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</si>
  <si>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</si>
  <si>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</si>
  <si>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</si>
  <si>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</si>
  <si>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</si>
  <si>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</si>
  <si>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</si>
  <si>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</si>
  <si>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</si>
  <si>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</si>
  <si>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</si>
  <si>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</si>
  <si>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</si>
  <si>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</si>
  <si>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</si>
  <si>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</si>
  <si>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</si>
  <si>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</si>
  <si>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</si>
  <si>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</si>
  <si>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</si>
  <si>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</si>
  <si>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</si>
  <si>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</si>
  <si>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</si>
  <si>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</si>
  <si>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</si>
  <si>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</si>
  <si>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</si>
  <si>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</si>
  <si>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</si>
  <si>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</si>
  <si>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</si>
  <si>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</si>
  <si>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</si>
  <si>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</si>
  <si>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</si>
  <si>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</si>
  <si>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</si>
  <si>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</si>
  <si>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</si>
  <si>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</si>
  <si>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</si>
  <si>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</si>
  <si>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</si>
  <si>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</si>
  <si>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</si>
  <si>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</si>
  <si>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</si>
  <si>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</si>
  <si>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</si>
  <si>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</si>
  <si>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</si>
  <si>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</si>
  <si>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</si>
  <si>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</si>
  <si>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</si>
  <si>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</si>
  <si>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</si>
  <si>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</si>
  <si>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</si>
  <si>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</si>
  <si>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</si>
  <si>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</si>
  <si>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</si>
  <si>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</si>
  <si>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</si>
  <si>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</si>
  <si>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</si>
  <si>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</si>
  <si>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</si>
  <si>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</si>
  <si>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</si>
  <si>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</si>
  <si>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</si>
  <si>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</si>
  <si>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</si>
  <si>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</si>
  <si>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</si>
  <si>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</si>
  <si>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</si>
  <si>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</si>
  <si>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</si>
  <si>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</si>
  <si>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</si>
  <si>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</si>
  <si>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</si>
  <si>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</si>
  <si>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</si>
  <si>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</si>
  <si>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</si>
  <si>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</si>
  <si>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</si>
  <si>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</si>
  <si>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</si>
  <si>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</si>
  <si>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</si>
  <si>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</si>
  <si>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</si>
  <si>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</si>
  <si>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</si>
  <si>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</si>
  <si>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</si>
  <si>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</si>
  <si>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</si>
  <si>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</si>
  <si>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</si>
  <si>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</si>
  <si>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</si>
  <si>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</si>
  <si>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</si>
  <si>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</si>
  <si>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</si>
  <si>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</si>
  <si>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</si>
  <si>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</si>
  <si>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</si>
  <si>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</si>
  <si>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</si>
  <si>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</si>
  <si>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</si>
  <si>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</si>
  <si>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</si>
  <si>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</si>
  <si>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</si>
  <si>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</si>
  <si>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</si>
  <si>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</si>
  <si>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</si>
  <si>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</si>
  <si>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</si>
  <si>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</si>
  <si>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</si>
  <si>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</si>
  <si>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</si>
  <si>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</si>
  <si>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</si>
  <si>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</si>
  <si>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</si>
  <si>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</si>
  <si>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</si>
  <si>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</si>
  <si>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</si>
  <si>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</si>
  <si>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</si>
  <si>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</si>
  <si>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</si>
  <si>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</si>
  <si>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</si>
  <si>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</si>
  <si>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</si>
  <si>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</si>
  <si>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</si>
  <si>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</si>
  <si>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</si>
  <si>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</si>
  <si>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</si>
  <si>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</si>
  <si>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</si>
  <si>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</si>
  <si>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</si>
  <si>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</si>
  <si>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</si>
  <si>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</si>
  <si>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</si>
  <si>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</si>
  <si>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</si>
  <si>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</si>
  <si>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</si>
  <si>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</si>
  <si>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</si>
  <si>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</si>
  <si>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</si>
  <si>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</si>
  <si>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</si>
  <si>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</si>
  <si>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</si>
  <si>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</si>
  <si>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</si>
  <si>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</si>
  <si>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</si>
  <si>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</si>
  <si>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</si>
  <si>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</si>
  <si>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</si>
  <si>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</si>
  <si>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</si>
  <si>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</si>
  <si>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</si>
  <si>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</si>
  <si>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</si>
  <si>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</si>
  <si>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</si>
  <si>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</si>
  <si>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</si>
  <si>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</si>
  <si>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</si>
  <si>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</si>
  <si>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</si>
  <si>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</si>
  <si>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</si>
  <si>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</si>
  <si>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</si>
  <si>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</si>
  <si>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</si>
  <si>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</si>
  <si>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</si>
  <si>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</si>
  <si>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</si>
  <si>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</si>
  <si>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</si>
  <si>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</si>
  <si>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</si>
  <si>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</si>
  <si>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</si>
  <si>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</si>
  <si>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</si>
  <si>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</si>
  <si>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</si>
  <si>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</si>
  <si>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</si>
  <si>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</si>
  <si>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</si>
  <si>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</si>
  <si>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</si>
  <si>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</si>
  <si>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</si>
  <si>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</si>
  <si>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</si>
  <si>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</si>
  <si>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</si>
  <si>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</si>
  <si>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</si>
  <si>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</si>
  <si>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</si>
  <si>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</si>
  <si>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</si>
  <si>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</si>
  <si>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</si>
  <si>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</si>
  <si>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</si>
  <si>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</si>
  <si>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</si>
  <si>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</si>
  <si>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</si>
  <si>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</si>
  <si>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</si>
  <si>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</si>
  <si>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</si>
  <si>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</si>
  <si>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</si>
  <si>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</si>
  <si>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</si>
  <si>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</si>
  <si>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</si>
  <si>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</si>
  <si>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</si>
  <si>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</si>
  <si>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</si>
  <si>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</si>
  <si>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</si>
  <si>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</si>
  <si>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</si>
  <si>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</si>
  <si>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</si>
  <si>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</si>
  <si>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</si>
  <si>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</si>
  <si>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</si>
  <si>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</si>
  <si>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</si>
  <si>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</si>
  <si>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</si>
  <si>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</si>
  <si>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</si>
  <si>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</si>
  <si>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</si>
  <si>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</si>
  <si>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</si>
  <si>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</si>
  <si>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</si>
  <si>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</si>
  <si>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</si>
  <si>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</si>
  <si>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</si>
  <si>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</si>
  <si>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</si>
  <si>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</si>
  <si>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</si>
  <si>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</si>
  <si>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</si>
  <si>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</si>
  <si>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</si>
  <si>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</si>
  <si>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</si>
  <si>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</si>
  <si>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</si>
  <si>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</si>
  <si>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</si>
  <si>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</si>
  <si>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</si>
  <si>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</si>
  <si>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</si>
  <si>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</si>
  <si>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</si>
  <si>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</si>
  <si>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</si>
  <si>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</si>
  <si>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</si>
  <si>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</si>
  <si>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</si>
  <si>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</si>
  <si>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</si>
  <si>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</si>
  <si>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</si>
  <si>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</si>
  <si>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</si>
  <si>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</si>
  <si>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</si>
  <si>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</si>
  <si>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</si>
  <si>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</si>
  <si>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</si>
  <si>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</si>
  <si>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</si>
  <si>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</si>
  <si>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</si>
  <si>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</si>
  <si>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</si>
  <si>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</si>
  <si>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</si>
  <si>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</si>
  <si>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</si>
  <si>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</si>
  <si>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</si>
  <si>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</si>
  <si>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</si>
  <si>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</si>
  <si>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</si>
  <si>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</si>
  <si>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</si>
  <si>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</si>
  <si>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</si>
  <si>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</si>
  <si>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</si>
  <si>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</si>
  <si>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</si>
  <si>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</si>
  <si>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</si>
  <si>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</si>
  <si>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</si>
  <si>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</si>
  <si>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</si>
  <si>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</si>
  <si>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</si>
  <si>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</si>
  <si>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</si>
  <si>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</si>
  <si>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</si>
  <si>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</si>
  <si>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</si>
  <si>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</si>
  <si>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</si>
  <si>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</si>
  <si>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</si>
  <si>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</si>
  <si>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</si>
  <si>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</si>
  <si>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</si>
  <si>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</si>
  <si>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</si>
  <si>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</si>
  <si>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</si>
  <si>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</si>
  <si>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</si>
  <si>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</si>
  <si>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</si>
  <si>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</si>
  <si>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</si>
  <si>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</si>
  <si>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</si>
  <si>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</si>
  <si>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</si>
  <si>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</si>
  <si>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</si>
  <si>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</si>
  <si>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</si>
  <si>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</si>
  <si>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</si>
  <si>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</si>
  <si>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</si>
  <si>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</si>
  <si>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</si>
  <si>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</si>
  <si>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</si>
  <si>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</si>
  <si>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</si>
  <si>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</si>
  <si>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</si>
  <si>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</si>
  <si>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</si>
  <si>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</si>
  <si>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</si>
  <si>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</si>
  <si>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</si>
  <si>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</si>
  <si>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</si>
  <si>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</si>
  <si>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</si>
  <si>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</si>
  <si>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</si>
  <si>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</si>
  <si>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</si>
  <si>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</si>
  <si>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</si>
  <si>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</si>
  <si>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</si>
  <si>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</si>
  <si>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</si>
  <si>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</si>
  <si>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</si>
  <si>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</si>
  <si>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</si>
  <si>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</si>
  <si>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</si>
  <si>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</si>
  <si>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</si>
  <si>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</si>
  <si>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</si>
  <si>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</si>
  <si>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</si>
  <si>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</si>
  <si>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</si>
  <si>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</si>
  <si>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</si>
  <si>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</si>
  <si>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</si>
  <si>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</si>
  <si>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</si>
  <si>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</si>
  <si>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</si>
  <si>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</si>
  <si>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</si>
  <si>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</si>
  <si>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</si>
  <si>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</si>
  <si>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</si>
  <si>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</si>
  <si>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</si>
  <si>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</si>
  <si>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</si>
  <si>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</si>
  <si>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</si>
  <si>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</si>
  <si>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</si>
  <si>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</si>
  <si>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</si>
  <si>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</si>
  <si>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</si>
  <si>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</si>
  <si>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</si>
  <si>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</si>
  <si>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</si>
  <si>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</si>
  <si>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</si>
  <si>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</si>
  <si>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</si>
  <si>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</si>
  <si>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</si>
  <si>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</si>
  <si>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</si>
  <si>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</si>
  <si>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</si>
  <si>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</si>
  <si>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</si>
  <si>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</si>
  <si>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</si>
  <si>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</si>
  <si>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</si>
  <si>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</si>
  <si>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</si>
  <si>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</si>
  <si>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</si>
  <si>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</si>
  <si>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</si>
  <si>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</si>
  <si>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</si>
  <si>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</si>
  <si>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</si>
  <si>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</si>
  <si>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</si>
  <si>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</si>
  <si>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</si>
  <si>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</si>
  <si>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</si>
  <si>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</si>
  <si>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</si>
  <si>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</si>
  <si>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</si>
  <si>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</si>
  <si>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</si>
  <si>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</si>
  <si>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</si>
  <si>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</si>
  <si>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</si>
  <si>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</si>
  <si>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</si>
  <si>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</si>
  <si>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</si>
  <si>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</si>
  <si>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</si>
  <si>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</si>
  <si>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</si>
  <si>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</si>
  <si>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</si>
  <si>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</si>
  <si>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</si>
  <si>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</si>
  <si>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</si>
  <si>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</si>
  <si>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</si>
  <si>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</si>
  <si>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</si>
  <si>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</si>
  <si>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</si>
  <si>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</si>
  <si>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</si>
  <si>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</si>
  <si>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</si>
  <si>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</si>
  <si>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</si>
  <si>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</si>
  <si>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</si>
  <si>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</si>
  <si>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</si>
  <si>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</si>
  <si>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</si>
  <si>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</si>
  <si>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</si>
  <si>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</si>
  <si>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</si>
  <si>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</si>
  <si>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</si>
  <si>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</si>
  <si>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</si>
  <si>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</si>
  <si>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</si>
  <si>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</si>
  <si>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</si>
  <si>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</si>
  <si>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</si>
  <si>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</si>
  <si>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</si>
  <si>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</si>
  <si>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</si>
  <si>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</si>
  <si>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</si>
  <si>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</si>
  <si>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</si>
  <si>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</si>
  <si>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</si>
  <si>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</si>
  <si>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</si>
  <si>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</si>
  <si>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</si>
  <si>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</si>
  <si>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</si>
  <si>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</si>
  <si>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</si>
  <si>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</si>
  <si>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</si>
  <si>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</si>
  <si>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</si>
  <si>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</si>
  <si>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</si>
  <si>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</si>
  <si>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</si>
  <si>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</si>
  <si>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</si>
  <si>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</si>
  <si>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</si>
  <si>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</si>
  <si>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</si>
  <si>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</si>
  <si>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</si>
  <si>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</si>
  <si>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</si>
  <si>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</si>
  <si>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</si>
  <si>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</si>
  <si>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</si>
  <si>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</si>
  <si>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</si>
  <si>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</si>
  <si>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</si>
  <si>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</si>
  <si>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</si>
  <si>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</si>
  <si>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</si>
  <si>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</si>
  <si>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</si>
  <si>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</si>
  <si>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</si>
  <si>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</si>
  <si>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</si>
  <si>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</si>
  <si>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</si>
  <si>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</si>
  <si>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</si>
  <si>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</si>
  <si>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</si>
  <si>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</si>
  <si>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</si>
  <si>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</si>
  <si>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</si>
  <si>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</si>
  <si>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</si>
  <si>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</si>
  <si>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</si>
  <si>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</si>
  <si>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</si>
  <si>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</si>
  <si>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</si>
  <si>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</si>
  <si>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</si>
  <si>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</si>
  <si>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</si>
  <si>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</si>
  <si>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</si>
  <si>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</si>
  <si>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</si>
  <si>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</si>
  <si>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</si>
  <si>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</si>
  <si>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</si>
  <si>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</si>
  <si>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</si>
  <si>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</si>
  <si>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</si>
  <si>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</si>
  <si>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</si>
  <si>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</si>
  <si>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</si>
  <si>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</si>
  <si>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</si>
  <si>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</si>
  <si>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</si>
  <si>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</si>
  <si>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</si>
  <si>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</si>
  <si>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</si>
  <si>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</si>
  <si>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</si>
  <si>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</si>
  <si>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</si>
  <si>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</si>
  <si>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</si>
  <si>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</si>
  <si>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</si>
  <si>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</si>
  <si>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</si>
  <si>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</si>
  <si>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</si>
  <si>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</si>
  <si>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</si>
  <si>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</si>
  <si>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</si>
  <si>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</si>
  <si>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</si>
  <si>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</si>
  <si>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</si>
  <si>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</si>
  <si>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</si>
  <si>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</si>
  <si>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</si>
  <si>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</si>
  <si>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</si>
  <si>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</si>
  <si>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</si>
  <si>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</si>
  <si>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</si>
  <si>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</si>
  <si>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</si>
  <si>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</si>
  <si>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</si>
  <si>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</si>
  <si>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</si>
  <si>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</si>
  <si>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</si>
  <si>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</si>
  <si>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</si>
  <si>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</si>
  <si>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</si>
  <si>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</si>
  <si>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</si>
  <si>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</si>
  <si>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</si>
  <si>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</si>
  <si>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</si>
  <si>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</si>
  <si>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</si>
  <si>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</si>
  <si>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</si>
  <si>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</si>
  <si>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</si>
  <si>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</si>
  <si>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</si>
  <si>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</si>
  <si>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</si>
  <si>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</si>
  <si>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</si>
  <si>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</si>
  <si>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</si>
  <si>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</si>
  <si>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</si>
  <si>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</si>
  <si>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</si>
  <si>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</si>
  <si>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</si>
  <si>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</si>
  <si>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</si>
  <si>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</si>
  <si>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</si>
  <si>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</si>
  <si>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</si>
  <si>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</si>
  <si>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</si>
  <si>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</si>
  <si>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</si>
  <si>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</si>
  <si>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</si>
  <si>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</si>
  <si>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</si>
  <si>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</si>
  <si>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</si>
  <si>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</si>
  <si>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</si>
  <si>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</si>
  <si>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</si>
  <si>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</si>
  <si>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</si>
  <si>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</si>
  <si>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</si>
  <si>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</si>
  <si>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</si>
  <si>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</si>
  <si>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</si>
  <si>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</si>
  <si>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</si>
  <si>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</si>
  <si>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</si>
  <si>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</si>
  <si>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</si>
  <si>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</si>
  <si>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</si>
  <si>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</si>
  <si>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</si>
  <si>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</si>
  <si>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</si>
  <si>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</si>
  <si>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</si>
  <si>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</si>
  <si>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</si>
  <si>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</si>
  <si>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</si>
  <si>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</si>
  <si>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</si>
  <si>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</si>
  <si>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</si>
  <si>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</si>
  <si>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</si>
  <si>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</si>
  <si>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</si>
  <si>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</si>
  <si>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</si>
  <si>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</si>
  <si>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</si>
  <si>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</si>
  <si>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</si>
  <si>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</si>
  <si>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</si>
  <si>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</si>
  <si>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</si>
  <si>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</si>
  <si>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</si>
  <si>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</si>
  <si>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</si>
  <si>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</si>
  <si>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</si>
  <si>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</si>
  <si>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</si>
  <si>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</si>
  <si>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</si>
  <si>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</si>
  <si>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</si>
  <si>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</si>
  <si>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</si>
  <si>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</si>
  <si>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</si>
  <si>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</si>
  <si>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</si>
  <si>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</si>
  <si>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</si>
  <si>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</si>
  <si>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</si>
  <si>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</si>
  <si>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</si>
  <si>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</si>
  <si>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</si>
  <si>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</si>
  <si>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</si>
  <si>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</si>
  <si>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</si>
  <si>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</si>
  <si>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</si>
  <si>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</si>
  <si>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</si>
  <si>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</si>
  <si>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</si>
  <si>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</si>
  <si>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</si>
  <si>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</si>
  <si>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</si>
  <si>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</si>
  <si>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</si>
  <si>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</si>
  <si>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</si>
  <si>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</si>
  <si>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</si>
  <si>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</si>
  <si>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</si>
  <si>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</si>
  <si>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</si>
  <si>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</si>
  <si>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</si>
  <si>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</si>
  <si>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</si>
  <si>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</si>
  <si>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</si>
  <si>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</si>
  <si>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</si>
  <si>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</si>
  <si>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</si>
  <si>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</si>
  <si>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</si>
  <si>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</si>
  <si>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</si>
  <si>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</si>
  <si>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</si>
  <si>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</si>
  <si>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</si>
  <si>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</si>
  <si>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</si>
  <si>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</si>
  <si>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</si>
  <si>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</si>
  <si>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</si>
  <si>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</si>
  <si>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</si>
  <si>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</si>
  <si>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</si>
  <si>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</si>
  <si>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</si>
  <si>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</si>
  <si>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</si>
  <si>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</si>
  <si>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</si>
  <si>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</si>
  <si>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</si>
  <si>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</si>
  <si>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</si>
  <si>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</si>
  <si>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</si>
  <si>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</si>
  <si>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</si>
  <si>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</si>
  <si>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</si>
  <si>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</si>
  <si>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</si>
  <si>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</si>
  <si>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</si>
  <si>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</si>
  <si>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</si>
  <si>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</si>
  <si>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</si>
  <si>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</si>
  <si>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</si>
  <si>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</si>
  <si>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</si>
  <si>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</si>
  <si>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</si>
  <si>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</si>
  <si>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</si>
  <si>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</si>
  <si>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</si>
  <si>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</si>
  <si>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</si>
  <si>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</si>
  <si>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</si>
  <si>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</si>
  <si>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</si>
  <si>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</si>
  <si>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</si>
  <si>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</si>
  <si>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</si>
  <si>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</si>
  <si>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</si>
  <si>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</si>
  <si>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</si>
  <si>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</si>
  <si>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</si>
  <si>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</si>
  <si>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</si>
  <si>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</si>
  <si>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</si>
  <si>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</si>
  <si>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</si>
  <si>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</si>
  <si>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</si>
  <si>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</si>
  <si>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</si>
  <si>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</si>
  <si>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</si>
  <si>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</si>
  <si>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</si>
  <si>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</si>
  <si>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</si>
  <si>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</si>
  <si>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</si>
  <si>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</si>
  <si>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</si>
  <si>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</si>
  <si>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</si>
  <si>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</si>
  <si>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</si>
  <si>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</si>
  <si>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</si>
  <si>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</si>
  <si>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</si>
  <si>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</si>
  <si>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</si>
  <si>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</si>
  <si>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</si>
  <si>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</si>
  <si>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</si>
  <si>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</si>
  <si>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</si>
  <si>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</si>
  <si>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</si>
  <si>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</si>
  <si>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</si>
  <si>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</si>
  <si>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</si>
  <si>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</si>
  <si>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</si>
  <si>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</si>
  <si>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</si>
  <si>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</si>
  <si>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</si>
  <si>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</si>
  <si>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</si>
  <si>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</si>
  <si>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</si>
  <si>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</si>
  <si>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</si>
  <si>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</si>
  <si>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</si>
  <si>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</si>
  <si>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</si>
  <si>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</si>
  <si>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</si>
  <si>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</si>
  <si>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</si>
  <si>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</si>
  <si>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</si>
  <si>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</si>
  <si>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</si>
  <si>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</si>
  <si>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</si>
  <si>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</si>
  <si>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</si>
  <si>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</si>
  <si>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</si>
  <si>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</si>
  <si>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</si>
  <si>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</si>
  <si>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</si>
  <si>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</si>
  <si>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</si>
  <si>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</si>
  <si>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</si>
  <si>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</si>
  <si>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</si>
  <si>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</si>
  <si>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</si>
  <si>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</si>
  <si>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</si>
  <si>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</si>
  <si>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</si>
  <si>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</si>
  <si>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</si>
  <si>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</si>
  <si>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</si>
  <si>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</si>
  <si>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</si>
  <si>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</si>
  <si>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</si>
  <si>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</si>
  <si>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</si>
  <si>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</si>
  <si>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</si>
  <si>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</si>
  <si>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</si>
  <si>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</si>
  <si>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</si>
  <si>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</si>
  <si>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</si>
  <si>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</si>
  <si>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</si>
  <si>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</si>
  <si>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</si>
  <si>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</si>
  <si>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</si>
  <si>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</si>
  <si>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</si>
  <si>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</si>
  <si>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</si>
  <si>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</si>
  <si>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</si>
  <si>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</si>
  <si>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</si>
  <si>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</si>
  <si>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</si>
  <si>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</si>
  <si>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</si>
  <si>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</si>
  <si>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</si>
  <si>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</si>
  <si>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</si>
  <si>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</si>
  <si>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</si>
  <si>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</si>
  <si>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</si>
  <si>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</si>
  <si>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</si>
  <si>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</si>
  <si>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</si>
  <si>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</si>
  <si>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</si>
  <si>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</si>
  <si>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</si>
  <si>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</si>
  <si>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</si>
  <si>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</si>
  <si>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</si>
  <si>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</si>
  <si>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</si>
  <si>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</si>
  <si>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</si>
  <si>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</si>
  <si>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</si>
  <si>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</si>
  <si>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</si>
  <si>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</si>
  <si>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</si>
  <si>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</si>
  <si>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</si>
  <si>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</si>
  <si>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</si>
  <si>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</si>
  <si>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</si>
  <si>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</si>
  <si>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</si>
  <si>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</si>
  <si>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</si>
  <si>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</si>
  <si>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</si>
  <si>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</si>
  <si>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</si>
  <si>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</si>
  <si>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</si>
  <si>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</si>
  <si>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</si>
  <si>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</si>
  <si>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</si>
  <si>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</si>
  <si>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</si>
  <si>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</si>
  <si>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</si>
  <si>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</si>
  <si>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</si>
  <si>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</si>
  <si>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</si>
  <si>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</si>
  <si>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</si>
  <si>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</si>
  <si>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</si>
  <si>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</si>
  <si>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</si>
  <si>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</si>
  <si>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</si>
  <si>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</si>
  <si>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</si>
  <si>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</si>
  <si>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</si>
  <si>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</si>
  <si>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</si>
  <si>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</si>
  <si>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</si>
  <si>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</si>
  <si>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</si>
  <si>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</si>
  <si>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</si>
  <si>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</si>
  <si>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</si>
  <si>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</si>
  <si>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</si>
  <si>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</si>
  <si>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</si>
  <si>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</si>
  <si>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</si>
  <si>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</si>
  <si>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</si>
  <si>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</si>
  <si>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</si>
  <si>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</si>
  <si>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</si>
  <si>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</si>
  <si>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</si>
  <si>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</si>
  <si>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</si>
  <si>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</si>
  <si>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</si>
  <si>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</si>
  <si>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</si>
  <si>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</si>
  <si>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</si>
  <si>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</si>
  <si>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</si>
  <si>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</si>
  <si>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</si>
  <si>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</si>
  <si>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</si>
  <si>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</si>
  <si>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</si>
  <si>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</si>
  <si>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</si>
  <si>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</si>
  <si>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</si>
  <si>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</si>
  <si>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</si>
  <si>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</si>
  <si>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</si>
  <si>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</si>
  <si>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</si>
  <si>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</si>
  <si>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</si>
  <si>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</si>
  <si>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</si>
  <si>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</si>
  <si>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</si>
  <si>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</si>
  <si>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</si>
  <si>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</si>
  <si>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</si>
  <si>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</si>
  <si>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</si>
  <si>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</si>
  <si>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</si>
  <si>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</si>
  <si>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</si>
  <si>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</si>
  <si>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</si>
  <si>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</si>
  <si>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</si>
  <si>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</si>
  <si>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</si>
  <si>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</si>
  <si>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</si>
  <si>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</si>
  <si>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</si>
  <si>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</si>
  <si>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</si>
  <si>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</si>
  <si>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</si>
  <si>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</si>
  <si>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</si>
  <si>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</si>
  <si>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</si>
  <si>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</si>
  <si>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</si>
  <si>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</si>
  <si>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</si>
  <si>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</si>
  <si>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</si>
  <si>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</si>
  <si>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</si>
  <si>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</si>
  <si>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</si>
  <si>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</si>
  <si>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</si>
  <si>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</si>
  <si>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</si>
  <si>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</si>
  <si>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</si>
  <si>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</si>
  <si>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</si>
  <si>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</si>
  <si>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</si>
  <si>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</si>
  <si>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</si>
  <si>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</si>
  <si>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</si>
  <si>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</si>
  <si>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</si>
  <si>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</si>
  <si>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</si>
  <si>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</si>
  <si>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</si>
  <si>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</si>
  <si>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</si>
  <si>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</si>
  <si>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</si>
  <si>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</si>
  <si>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</si>
  <si>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</si>
  <si>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</si>
  <si>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</si>
  <si>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</si>
  <si>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</si>
  <si>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</si>
  <si>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</si>
  <si>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</si>
  <si>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</si>
  <si>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</si>
  <si>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</si>
  <si>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</si>
  <si>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</si>
  <si>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</si>
  <si>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</si>
  <si>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</si>
  <si>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</si>
  <si>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</si>
  <si>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</si>
  <si>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</si>
  <si>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</si>
  <si>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</si>
  <si>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</si>
  <si>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</si>
  <si>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</si>
  <si>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</si>
  <si>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</si>
  <si>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</si>
  <si>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</si>
  <si>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</si>
  <si>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</si>
  <si>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</si>
  <si>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</si>
  <si>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</si>
  <si>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</si>
  <si>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</si>
  <si>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</si>
  <si>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</si>
  <si>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</si>
  <si>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</si>
  <si>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</si>
  <si>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</si>
  <si>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</si>
  <si>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</si>
  <si>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</si>
  <si>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</si>
  <si>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</si>
  <si>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</si>
  <si>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</si>
  <si>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</si>
  <si>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</si>
  <si>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</si>
  <si>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</si>
  <si>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</si>
  <si>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</si>
  <si>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</si>
  <si>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</si>
  <si>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</si>
  <si>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</si>
  <si>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</si>
  <si>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</si>
  <si>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</si>
  <si>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</si>
  <si>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</si>
  <si>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</si>
  <si>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</si>
  <si>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</si>
  <si>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</si>
  <si>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</si>
  <si>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</si>
  <si>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</si>
  <si>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</si>
  <si>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</si>
  <si>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</si>
  <si>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</si>
  <si>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</si>
  <si>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</si>
  <si>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</si>
  <si>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</si>
  <si>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</si>
  <si>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</si>
  <si>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</si>
  <si>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</si>
  <si>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</si>
  <si>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</si>
  <si>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</si>
  <si>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</si>
  <si>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</si>
  <si>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</si>
  <si>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</si>
  <si>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</si>
  <si>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</si>
  <si>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</si>
  <si>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</si>
  <si>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</si>
  <si>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</si>
  <si>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</si>
  <si>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</si>
  <si>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</si>
  <si>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</si>
  <si>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</si>
  <si>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</si>
  <si>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</si>
  <si>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</si>
  <si>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</si>
  <si>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</si>
  <si>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</si>
  <si>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</si>
  <si>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</si>
  <si>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</si>
  <si>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</si>
  <si>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</si>
  <si>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</si>
  <si>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</si>
  <si>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</si>
  <si>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</si>
  <si>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</si>
  <si>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</si>
  <si>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</si>
  <si>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</si>
  <si>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</si>
  <si>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</si>
  <si>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</si>
  <si>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</si>
  <si>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</si>
  <si>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</si>
  <si>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</si>
  <si>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</si>
  <si>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</si>
  <si>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</si>
  <si>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</si>
  <si>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</si>
  <si>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</si>
  <si>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</si>
  <si>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</si>
  <si>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</si>
  <si>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</si>
  <si>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</si>
  <si>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</si>
  <si>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</si>
  <si>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</si>
  <si>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</si>
  <si>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</si>
  <si>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</si>
  <si>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</si>
  <si>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</si>
  <si>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</si>
  <si>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</si>
  <si>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</si>
  <si>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</si>
  <si>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</si>
  <si>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</si>
  <si>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</si>
  <si>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</si>
  <si>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</si>
  <si>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</si>
  <si>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</si>
  <si>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</si>
  <si>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</si>
  <si>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</si>
  <si>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</si>
  <si>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</si>
  <si>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</si>
  <si>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</si>
  <si>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</si>
  <si>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</si>
  <si>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</si>
  <si>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</si>
  <si>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</si>
  <si>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</si>
  <si>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</si>
  <si>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</si>
  <si>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</si>
  <si>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</si>
  <si>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</si>
  <si>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</si>
  <si>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</si>
  <si>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</si>
  <si>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</si>
  <si>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</si>
  <si>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</si>
  <si>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</si>
  <si>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</si>
  <si>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</si>
  <si>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</si>
  <si>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</si>
  <si>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</si>
  <si>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</si>
  <si>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</si>
  <si>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</si>
  <si>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</si>
  <si>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</si>
  <si>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</si>
  <si>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</si>
  <si>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</si>
  <si>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</si>
  <si>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</si>
  <si>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</si>
  <si>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</si>
  <si>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</si>
  <si>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</si>
  <si>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</si>
  <si>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</si>
  <si>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</si>
  <si>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</si>
  <si>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</si>
  <si>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</si>
  <si>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</si>
  <si>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</si>
  <si>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</si>
  <si>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</si>
  <si>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</si>
  <si>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</si>
  <si>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</si>
  <si>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</si>
  <si>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</si>
  <si>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</si>
  <si>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</si>
  <si>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</si>
  <si>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</si>
  <si>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</si>
  <si>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</si>
  <si>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</si>
  <si>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</si>
  <si>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</si>
  <si>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</si>
  <si>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</si>
  <si>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</si>
  <si>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</si>
  <si>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</si>
  <si>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</si>
  <si>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</si>
  <si>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</si>
  <si>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</si>
  <si>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</si>
  <si>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</si>
  <si>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</si>
  <si>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</si>
  <si>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</si>
  <si>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</si>
  <si>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</si>
  <si>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</si>
  <si>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</si>
  <si>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</si>
  <si>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</si>
  <si>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</si>
  <si>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</si>
  <si>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</si>
  <si>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</si>
  <si>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</si>
  <si>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</si>
  <si>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</si>
  <si>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</si>
  <si>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</si>
  <si>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</si>
  <si>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</si>
  <si>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</si>
  <si>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</si>
  <si>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</si>
  <si>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</si>
  <si>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</si>
  <si>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</si>
  <si>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</si>
  <si>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</si>
  <si>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</si>
  <si>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</si>
  <si>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</si>
  <si>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</si>
  <si>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</si>
  <si>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</si>
  <si>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</si>
  <si>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</si>
  <si>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</si>
  <si>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</si>
  <si>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</si>
  <si>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</si>
  <si>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</si>
  <si>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</si>
  <si>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</si>
  <si>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</si>
  <si>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</si>
  <si>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</si>
  <si>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</si>
  <si>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</si>
  <si>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</si>
  <si>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</si>
  <si>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</si>
  <si>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</si>
  <si>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</si>
  <si>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</si>
  <si>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</si>
  <si>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</si>
  <si>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</si>
  <si>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</si>
  <si>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</si>
  <si>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</si>
  <si>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</si>
  <si>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</si>
  <si>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</si>
  <si>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</si>
  <si>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</si>
  <si>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</si>
  <si>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</si>
  <si>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</si>
  <si>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</si>
  <si>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</si>
  <si>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</si>
  <si>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</si>
  <si>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</si>
  <si>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</si>
  <si>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</si>
  <si>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</si>
  <si>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</si>
  <si>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</si>
  <si>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</si>
  <si>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</si>
  <si>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</si>
  <si>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</si>
  <si>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</si>
  <si>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</si>
  <si>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</si>
  <si>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</si>
  <si>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</si>
  <si>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</si>
  <si>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</si>
  <si>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</si>
  <si>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</si>
  <si>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</si>
  <si>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</si>
  <si>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</si>
  <si>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</si>
  <si>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</si>
  <si>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</si>
  <si>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</si>
  <si>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</si>
  <si>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</si>
  <si>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</si>
  <si>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</si>
  <si>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</si>
  <si>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</si>
  <si>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</si>
  <si>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</si>
  <si>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</si>
  <si>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</si>
  <si>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</si>
  <si>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</si>
  <si>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</si>
  <si>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</si>
  <si>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</si>
  <si>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</si>
  <si>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</si>
  <si>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</si>
  <si>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</si>
  <si>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</si>
  <si>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</si>
  <si>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</si>
  <si>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</si>
  <si>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</si>
  <si>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</si>
  <si>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</si>
  <si>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</si>
  <si>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</si>
  <si>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</si>
  <si>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</si>
  <si>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</si>
  <si>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</si>
  <si>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</si>
  <si>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</si>
  <si>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</si>
  <si>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</si>
  <si>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</si>
  <si>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</si>
  <si>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</si>
  <si>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</si>
  <si>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</si>
  <si>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</si>
  <si>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</si>
  <si>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</si>
  <si>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</si>
  <si>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</si>
  <si>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</si>
  <si>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</si>
  <si>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</si>
  <si>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</si>
  <si>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</si>
  <si>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</si>
  <si>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</si>
  <si>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</si>
  <si>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</si>
  <si>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</si>
  <si>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</si>
  <si>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</si>
  <si>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</si>
  <si>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</si>
  <si>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</si>
  <si>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</si>
  <si>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</si>
  <si>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</si>
  <si>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</si>
  <si>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</si>
  <si>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</si>
  <si>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</si>
  <si>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</si>
  <si>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</si>
  <si>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</si>
  <si>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</si>
  <si>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</si>
  <si>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</si>
  <si>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</si>
  <si>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</si>
  <si>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</si>
  <si>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</si>
  <si>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</si>
  <si>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</si>
  <si>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</si>
  <si>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</si>
  <si>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</si>
  <si>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</si>
  <si>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</si>
  <si>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</si>
  <si>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</si>
  <si>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</si>
  <si>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</si>
  <si>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</si>
  <si>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</si>
  <si>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</si>
  <si>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</si>
  <si>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</si>
  <si>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</si>
  <si>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</si>
  <si>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</si>
  <si>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</si>
  <si>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</si>
  <si>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</si>
  <si>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</si>
  <si>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</si>
  <si>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</si>
  <si>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</si>
  <si>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</si>
  <si>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</si>
  <si>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</si>
  <si>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</si>
  <si>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</si>
  <si>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</si>
  <si>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</si>
  <si>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</si>
  <si>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</si>
  <si>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</si>
  <si>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</si>
  <si>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</si>
  <si>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</si>
  <si>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</si>
  <si>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</si>
  <si>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</si>
  <si>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</si>
  <si>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</si>
  <si>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</si>
  <si>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</si>
  <si>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</si>
  <si>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</si>
  <si>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</si>
  <si>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</si>
  <si>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</si>
  <si>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</si>
  <si>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</si>
  <si>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</si>
  <si>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</si>
  <si>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</si>
  <si>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</si>
  <si>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</si>
  <si>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</si>
  <si>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</si>
  <si>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</si>
  <si>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</si>
  <si>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</si>
  <si>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</si>
  <si>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</si>
  <si>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</si>
  <si>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</si>
  <si>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</si>
  <si>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</si>
  <si>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</si>
  <si>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</si>
  <si>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</si>
  <si>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</si>
  <si>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</si>
  <si>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</si>
  <si>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</si>
  <si>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</si>
  <si>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</si>
  <si>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</si>
  <si>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</si>
  <si>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</si>
  <si>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</si>
  <si>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</si>
  <si>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</si>
  <si>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</si>
  <si>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</si>
  <si>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</si>
  <si>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</si>
  <si>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</si>
  <si>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</si>
  <si>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</si>
  <si>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</si>
  <si>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</si>
  <si>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</si>
  <si>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</si>
  <si>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</si>
  <si>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</si>
  <si>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</si>
  <si>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</si>
  <si>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</si>
  <si>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</si>
  <si>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</si>
  <si>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</si>
  <si>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</si>
  <si>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</si>
  <si>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</si>
  <si>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</si>
  <si>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</si>
  <si>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</si>
  <si>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</si>
  <si>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</si>
  <si>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</si>
  <si>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</si>
  <si>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</si>
  <si>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</si>
  <si>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</si>
  <si>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</si>
  <si>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</si>
  <si>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</si>
  <si>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</si>
  <si>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</si>
  <si>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</si>
  <si>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</si>
  <si>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</si>
  <si>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</si>
  <si>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</si>
  <si>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</si>
  <si>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</si>
  <si>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</si>
  <si>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</si>
  <si>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</si>
  <si>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</si>
  <si>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</si>
  <si>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</si>
  <si>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</si>
  <si>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</si>
  <si>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</si>
  <si>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</si>
  <si>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</si>
  <si>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</si>
  <si>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</si>
  <si>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</si>
  <si>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</si>
  <si>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</si>
  <si>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</si>
  <si>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</si>
  <si>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</si>
  <si>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</si>
  <si>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</si>
  <si>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</si>
  <si>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</si>
  <si>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</si>
  <si>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</si>
  <si>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</si>
  <si>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</si>
  <si>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</si>
  <si>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</si>
  <si>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</si>
  <si>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</si>
  <si>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</si>
  <si>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</si>
  <si>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</si>
  <si>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</si>
  <si>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</si>
  <si>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</si>
  <si>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</si>
  <si>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</si>
  <si>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</si>
  <si>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</si>
  <si>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</si>
  <si>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</si>
  <si>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</si>
  <si>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</si>
  <si>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</si>
  <si>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</si>
  <si>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</si>
  <si>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</si>
  <si>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</si>
  <si>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</si>
  <si>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</si>
  <si>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</si>
  <si>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</si>
  <si>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</si>
  <si>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</si>
  <si>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</si>
  <si>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</si>
  <si>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</si>
  <si>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</si>
  <si>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</si>
  <si>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</si>
  <si>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</si>
  <si>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</si>
  <si>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</si>
  <si>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</si>
  <si>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</si>
  <si>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</si>
  <si>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</si>
  <si>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</si>
  <si>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</si>
  <si>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</si>
  <si>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</si>
  <si>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</si>
  <si>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</si>
  <si>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</si>
  <si>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</si>
  <si>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</si>
  <si>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</si>
  <si>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</si>
  <si>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</si>
  <si>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</si>
  <si>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</si>
  <si>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</si>
  <si>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</si>
  <si>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</si>
  <si>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</si>
  <si>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</si>
  <si>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</si>
  <si>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</si>
  <si>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</si>
  <si>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</si>
  <si>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</si>
  <si>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</si>
  <si>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</si>
  <si>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</si>
  <si>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</si>
  <si>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</si>
  <si>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</si>
  <si>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</si>
  <si>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</si>
  <si>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</si>
  <si>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</si>
  <si>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</si>
  <si>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</si>
  <si>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</si>
  <si>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</si>
  <si>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</si>
  <si>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</si>
  <si>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</si>
  <si>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</si>
  <si>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</si>
  <si>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</si>
  <si>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</si>
  <si>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</si>
  <si>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</si>
  <si>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</si>
  <si>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</si>
  <si>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</si>
  <si>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</si>
  <si>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</si>
  <si>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</si>
  <si>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</si>
  <si>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</si>
  <si>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</si>
  <si>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</si>
  <si>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</si>
  <si>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</si>
  <si>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</si>
  <si>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</si>
  <si>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</si>
  <si>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</si>
  <si>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</si>
  <si>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</si>
  <si>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</si>
  <si>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</si>
  <si>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</si>
  <si>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</si>
  <si>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</si>
  <si>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</si>
  <si>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</si>
  <si>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</si>
  <si>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</si>
  <si>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</si>
  <si>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</si>
  <si>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</si>
  <si>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</si>
  <si>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</si>
  <si>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</si>
  <si>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</si>
  <si>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</si>
  <si>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</si>
  <si>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</si>
  <si>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</si>
  <si>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</si>
  <si>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</si>
  <si>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</si>
  <si>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</si>
  <si>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</si>
  <si>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</si>
  <si>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</si>
  <si>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</si>
  <si>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</si>
  <si>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</si>
  <si>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</si>
  <si>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</si>
  <si>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</si>
  <si>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</si>
  <si>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</si>
  <si>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</si>
  <si>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</si>
  <si>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</si>
  <si>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</si>
  <si>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</si>
  <si>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</si>
  <si>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</si>
  <si>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</si>
  <si>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</si>
  <si>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</si>
  <si>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</si>
  <si>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</si>
  <si>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</si>
  <si>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</si>
  <si>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</si>
  <si>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</si>
  <si>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</si>
  <si>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</si>
  <si>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</si>
  <si>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</si>
  <si>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</si>
  <si>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</si>
  <si>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</si>
  <si>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</si>
  <si>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</si>
  <si>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</si>
  <si>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</si>
  <si>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</si>
  <si>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</si>
  <si>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</si>
  <si>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</si>
  <si>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</si>
  <si>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</si>
  <si>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</si>
  <si>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</si>
  <si>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</si>
  <si>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</si>
  <si>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</si>
  <si>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</si>
  <si>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</si>
  <si>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</si>
  <si>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</si>
  <si>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</si>
  <si>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</si>
  <si>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</si>
  <si>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</si>
  <si>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</si>
  <si>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</si>
  <si>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</si>
  <si>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</si>
  <si>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</si>
  <si>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</si>
  <si>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</si>
  <si>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</si>
  <si>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</si>
  <si>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</si>
  <si>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</si>
  <si>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</si>
  <si>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</si>
  <si>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</si>
  <si>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</si>
  <si>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</si>
  <si>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</si>
  <si>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</si>
  <si>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</si>
  <si>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</si>
  <si>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</si>
  <si>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</si>
  <si>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</si>
  <si>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</si>
  <si>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</si>
  <si>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</si>
  <si>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</si>
  <si>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</si>
  <si>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</si>
  <si>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</si>
  <si>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</si>
  <si>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</si>
  <si>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</si>
  <si>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</si>
  <si>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</si>
  <si>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</si>
  <si>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</si>
  <si>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</si>
  <si>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</si>
  <si>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</si>
  <si>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</si>
  <si>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</si>
  <si>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</si>
  <si>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</si>
  <si>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</si>
  <si>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</si>
  <si>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</si>
  <si>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</si>
  <si>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</si>
  <si>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</si>
  <si>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</si>
  <si>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</si>
  <si>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</si>
  <si>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</si>
  <si>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</si>
  <si>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</si>
  <si>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</si>
  <si>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</si>
  <si>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</si>
  <si>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</si>
  <si>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</si>
  <si>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</si>
  <si>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</si>
  <si>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</si>
  <si>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</si>
  <si>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</si>
  <si>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</si>
  <si>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</si>
  <si>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</si>
  <si>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</si>
  <si>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</si>
  <si>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</si>
  <si>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</si>
  <si>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</si>
  <si>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</si>
  <si>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</si>
  <si>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</si>
  <si>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</si>
  <si>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</si>
  <si>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</si>
  <si>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</si>
  <si>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</si>
  <si>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</si>
  <si>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</si>
  <si>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</si>
  <si>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</si>
  <si>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</si>
  <si>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</si>
  <si>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</si>
  <si>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</si>
  <si>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</si>
  <si>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</si>
  <si>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</si>
  <si>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</si>
  <si>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</si>
  <si>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</si>
  <si>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</si>
  <si>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</si>
  <si>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</si>
  <si>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</si>
  <si>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</si>
  <si>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</si>
  <si>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</si>
  <si>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</si>
  <si>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</si>
  <si>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</si>
  <si>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</si>
  <si>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</si>
  <si>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</si>
  <si>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</si>
  <si>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</si>
  <si>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</si>
  <si>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</si>
  <si>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</si>
  <si>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</si>
  <si>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</si>
  <si>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</si>
  <si>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</si>
  <si>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</si>
  <si>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</si>
  <si>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</si>
  <si>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</si>
  <si>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</si>
  <si>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</si>
  <si>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</si>
  <si>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</si>
  <si>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</si>
  <si>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</si>
  <si>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</si>
  <si>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</si>
  <si>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</si>
  <si>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</si>
  <si>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</si>
  <si>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</si>
  <si>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</si>
  <si>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</si>
  <si>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</si>
  <si>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</si>
  <si>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</si>
  <si>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</si>
  <si>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</si>
  <si>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</si>
  <si>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</si>
  <si>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</si>
  <si>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</si>
  <si>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</si>
  <si>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</si>
  <si>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</si>
  <si>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</si>
  <si>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</si>
  <si>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</si>
  <si>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</si>
  <si>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</si>
  <si>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</si>
  <si>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</si>
  <si>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</si>
  <si>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</si>
  <si>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</si>
  <si>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</si>
  <si>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</si>
  <si>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</si>
  <si>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</si>
  <si>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</si>
  <si>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</si>
  <si>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</si>
  <si>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</si>
  <si>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</si>
  <si>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</si>
  <si>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</si>
  <si>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</si>
  <si>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</si>
  <si>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</si>
  <si>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</si>
  <si>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</si>
  <si>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</si>
  <si>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</si>
  <si>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</si>
  <si>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</si>
  <si>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</si>
  <si>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</si>
  <si>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</si>
  <si>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</si>
  <si>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</si>
  <si>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</si>
  <si>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</si>
  <si>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</si>
  <si>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</si>
  <si>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</si>
  <si>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</si>
  <si>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</si>
  <si>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</si>
  <si>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</si>
  <si>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</si>
  <si>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</si>
  <si>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</si>
  <si>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</si>
  <si>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</si>
  <si>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</si>
  <si>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</si>
  <si>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</si>
  <si>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</si>
  <si>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</si>
  <si>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</si>
  <si>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</si>
  <si>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</si>
  <si>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</si>
  <si>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</si>
  <si>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</si>
  <si>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</si>
  <si>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</si>
  <si>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</si>
  <si>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</si>
  <si>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</si>
  <si>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</si>
  <si>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</si>
  <si>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</si>
  <si>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</si>
  <si>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</si>
  <si>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</si>
  <si>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</si>
  <si>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</si>
  <si>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</si>
  <si>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</si>
  <si>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</si>
  <si>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</si>
  <si>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</si>
  <si>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</si>
  <si>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</si>
  <si>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</si>
  <si>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</si>
  <si>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</si>
  <si>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</si>
  <si>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</si>
  <si>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</si>
  <si>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</si>
  <si>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</si>
  <si>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</si>
  <si>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</si>
  <si>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</si>
  <si>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</si>
  <si>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</si>
  <si>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</si>
  <si>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</si>
  <si>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</si>
  <si>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</si>
  <si>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</si>
  <si>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</si>
  <si>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</si>
  <si>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</si>
  <si>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</si>
  <si>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</si>
  <si>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</si>
  <si>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</si>
  <si>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</si>
  <si>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</si>
  <si>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</si>
  <si>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</si>
  <si>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</si>
  <si>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</si>
  <si>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</si>
  <si>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</si>
  <si>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</si>
  <si>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</si>
  <si>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</si>
  <si>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</si>
  <si>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</si>
  <si>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</si>
  <si>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</si>
  <si>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</si>
  <si>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</si>
  <si>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</si>
  <si>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</si>
  <si>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</si>
  <si>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</si>
  <si>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</si>
  <si>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</si>
  <si>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</si>
  <si>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</si>
  <si>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</si>
  <si>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</si>
  <si>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</si>
  <si>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</si>
  <si>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</si>
  <si>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</si>
  <si>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</si>
  <si>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</si>
  <si>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</si>
  <si>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</si>
  <si>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</si>
  <si>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</si>
  <si>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</si>
  <si>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</si>
  <si>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</si>
  <si>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</si>
  <si>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</si>
  <si>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</si>
  <si>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</si>
  <si>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</si>
  <si>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</si>
  <si>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</si>
  <si>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</si>
  <si>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</si>
  <si>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</si>
  <si>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</si>
  <si>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</si>
  <si>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</si>
  <si>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</si>
  <si>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</si>
  <si>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</si>
  <si>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</si>
  <si>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</si>
  <si>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</si>
  <si>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</si>
  <si>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</si>
  <si>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</si>
  <si>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</si>
  <si>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</si>
  <si>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</si>
  <si>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</si>
  <si>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</si>
  <si>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</si>
  <si>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</si>
  <si>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</si>
  <si>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</si>
  <si>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</si>
  <si>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</si>
  <si>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</si>
  <si>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</si>
  <si>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</si>
  <si>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</si>
  <si>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</si>
  <si>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</si>
  <si>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</si>
  <si>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</si>
  <si>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</si>
  <si>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</si>
  <si>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</si>
  <si>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</si>
  <si>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</si>
  <si>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</si>
  <si>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</si>
  <si>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</si>
  <si>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</si>
  <si>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</si>
  <si>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</si>
  <si>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</si>
  <si>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</si>
  <si>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</si>
  <si>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</si>
  <si>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</si>
  <si>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</si>
  <si>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</si>
  <si>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</si>
  <si>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</si>
  <si>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</si>
  <si>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</si>
  <si>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</si>
  <si>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</si>
  <si>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</si>
  <si>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</si>
  <si>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</si>
  <si>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</si>
  <si>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</si>
  <si>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</si>
  <si>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</si>
  <si>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</si>
  <si>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</si>
  <si>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</si>
  <si>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</si>
  <si>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</si>
  <si>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</si>
  <si>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</si>
  <si>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</si>
  <si>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</si>
  <si>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</si>
  <si>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</si>
  <si>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</si>
  <si>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</si>
  <si>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</si>
  <si>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</si>
  <si>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</si>
  <si>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</si>
  <si>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</si>
  <si>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</si>
  <si>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</si>
  <si>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</si>
  <si>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</si>
  <si>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</si>
  <si>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</si>
  <si>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</si>
  <si>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</si>
  <si>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</si>
  <si>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</si>
  <si>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</si>
  <si>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</si>
  <si>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</si>
  <si>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</si>
  <si>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</si>
  <si>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</si>
  <si>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</si>
  <si>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</si>
  <si>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</si>
  <si>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</si>
  <si>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</si>
  <si>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</si>
  <si>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</si>
  <si>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</si>
  <si>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</si>
  <si>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</si>
  <si>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</si>
  <si>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</si>
  <si>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</si>
  <si>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</si>
  <si>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</si>
  <si>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</si>
  <si>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</si>
  <si>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</si>
  <si>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</si>
  <si>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</si>
  <si>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</si>
  <si>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</si>
  <si>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</si>
  <si>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</si>
  <si>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</si>
  <si>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</si>
  <si>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</si>
  <si>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</si>
  <si>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</si>
  <si>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</si>
  <si>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</si>
  <si>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</si>
  <si>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</si>
  <si>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</si>
  <si>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</si>
  <si>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</si>
  <si>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</si>
  <si>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</si>
  <si>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</si>
  <si>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</si>
  <si>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</si>
  <si>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</si>
  <si>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</si>
  <si>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</si>
  <si>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</si>
  <si>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</si>
  <si>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</si>
  <si>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</si>
  <si>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</si>
  <si>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</si>
  <si>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</si>
  <si>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</si>
  <si>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</si>
  <si>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</si>
  <si>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</si>
  <si>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</si>
  <si>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</si>
  <si>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</si>
  <si>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</si>
  <si>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</si>
  <si>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</si>
  <si>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</si>
  <si>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</si>
  <si>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</si>
  <si>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</si>
  <si>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</si>
  <si>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</si>
  <si>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</si>
  <si>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</si>
  <si>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</si>
  <si>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</si>
  <si>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</si>
  <si>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</si>
  <si>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</si>
  <si>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</si>
  <si>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</si>
  <si>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</si>
  <si>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</si>
  <si>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</si>
  <si>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</si>
  <si>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</si>
  <si>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</si>
  <si>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</si>
  <si>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</si>
  <si>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</si>
  <si>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</si>
  <si>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</si>
  <si>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</si>
  <si>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</si>
  <si>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</si>
  <si>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</si>
  <si>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</si>
  <si>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</si>
  <si>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</si>
  <si>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</si>
  <si>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</si>
  <si>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</si>
  <si>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</si>
  <si>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</si>
  <si>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</si>
  <si>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</si>
  <si>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</si>
  <si>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</si>
  <si>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</si>
  <si>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</si>
  <si>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</si>
  <si>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</si>
  <si>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</si>
  <si>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</si>
  <si>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</si>
  <si>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</si>
  <si>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</si>
  <si>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</si>
  <si>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</si>
  <si>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</si>
  <si>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</si>
  <si>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</si>
  <si>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</si>
  <si>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</si>
  <si>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</si>
  <si>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</si>
  <si>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</si>
  <si>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</si>
  <si>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</si>
  <si>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</si>
  <si>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</si>
  <si>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</si>
  <si>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</si>
  <si>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</si>
  <si>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</si>
  <si>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</si>
  <si>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</si>
  <si>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</si>
  <si>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</si>
  <si>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</si>
  <si>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</si>
  <si>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</si>
  <si>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</si>
  <si>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</si>
  <si>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</si>
  <si>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</si>
  <si>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</si>
  <si>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</si>
  <si>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</si>
  <si>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</si>
  <si>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</si>
  <si>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</si>
  <si>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</si>
  <si>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</si>
  <si>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</si>
  <si>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</si>
  <si>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</si>
  <si>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</si>
  <si>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</si>
  <si>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</si>
  <si>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</si>
  <si>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</si>
  <si>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</si>
  <si>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</si>
  <si>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</si>
  <si>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</si>
  <si>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</si>
  <si>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</si>
  <si>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</si>
  <si>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</si>
  <si>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</si>
  <si>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</si>
  <si>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</si>
  <si>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</si>
  <si>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</si>
  <si>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</si>
  <si>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</si>
  <si>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</si>
  <si>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</si>
  <si>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</si>
  <si>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</si>
  <si>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</si>
  <si>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</si>
  <si>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</si>
  <si>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</si>
  <si>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</si>
  <si>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</si>
  <si>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</si>
  <si>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</si>
  <si>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</si>
  <si>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</si>
  <si>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</si>
  <si>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</si>
  <si>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</si>
  <si>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</si>
  <si>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</si>
  <si>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</si>
  <si>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</si>
  <si>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</si>
  <si>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</si>
  <si>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</si>
  <si>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</si>
  <si>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</si>
  <si>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</si>
  <si>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</si>
  <si>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</si>
  <si>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</si>
  <si>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</si>
  <si>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</si>
  <si>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</si>
  <si>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</si>
  <si>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</si>
  <si>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</si>
  <si>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</si>
  <si>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</si>
  <si>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</si>
  <si>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</si>
  <si>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</si>
  <si>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</si>
  <si>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</si>
  <si>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</si>
  <si>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</si>
  <si>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</si>
  <si>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</si>
  <si>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</si>
  <si>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</si>
  <si>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</si>
  <si>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</si>
  <si>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</si>
  <si>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</si>
  <si>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</si>
  <si>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</si>
  <si>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</si>
  <si>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</si>
  <si>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</si>
  <si>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</si>
  <si>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</si>
  <si>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</si>
  <si>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</si>
  <si>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</si>
  <si>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</si>
  <si>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</si>
  <si>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</si>
  <si>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</si>
  <si>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</si>
  <si>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</si>
  <si>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</si>
  <si>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</si>
  <si>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</si>
  <si>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</si>
  <si>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</si>
  <si>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</si>
  <si>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</si>
  <si>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</si>
  <si>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</si>
  <si>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</si>
  <si>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</si>
  <si>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</si>
  <si>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</si>
  <si>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</si>
  <si>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</si>
  <si>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</si>
  <si>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</si>
  <si>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</si>
  <si>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</si>
  <si>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</si>
  <si>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</si>
  <si>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</si>
  <si>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</si>
  <si>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</si>
  <si>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</si>
  <si>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</si>
  <si>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</si>
  <si>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</si>
  <si>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</si>
  <si>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</si>
  <si>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</si>
  <si>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</si>
  <si>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</si>
  <si>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</si>
  <si>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</si>
  <si>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</si>
  <si>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</si>
  <si>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</si>
  <si>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</si>
  <si>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</si>
  <si>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</si>
  <si>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</si>
  <si>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</si>
  <si>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</si>
  <si>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</si>
  <si>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</si>
  <si>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</si>
  <si>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</si>
  <si>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</si>
  <si>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</si>
  <si>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</si>
  <si>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</si>
  <si>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</si>
  <si>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</si>
  <si>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</si>
  <si>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</si>
  <si>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</si>
  <si>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</si>
  <si>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</si>
  <si>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</si>
  <si>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</si>
  <si>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</si>
  <si>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</si>
  <si>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</si>
  <si>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</si>
  <si>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</si>
  <si>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</si>
  <si>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</si>
  <si>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</si>
  <si>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</si>
  <si>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</si>
  <si>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</si>
  <si>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</si>
  <si>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</si>
  <si>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</si>
  <si>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</si>
  <si>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</si>
  <si>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</si>
  <si>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</si>
  <si>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</si>
  <si>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</si>
  <si>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</si>
  <si>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</si>
  <si>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</si>
  <si>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</si>
  <si>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</si>
  <si>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</si>
  <si>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</si>
  <si>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</si>
  <si>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</si>
  <si>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</si>
  <si>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</si>
  <si>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</si>
  <si>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</si>
  <si>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</si>
  <si>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</si>
  <si>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</si>
  <si>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</si>
  <si>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</si>
  <si>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</si>
  <si>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</si>
  <si>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</si>
  <si>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</si>
  <si>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</si>
  <si>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</si>
  <si>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</si>
  <si>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</si>
  <si>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</si>
  <si>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</si>
  <si>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</si>
  <si>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</si>
  <si>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</si>
  <si>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</si>
  <si>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</si>
  <si>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</si>
  <si>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</si>
  <si>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</si>
  <si>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</si>
  <si>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</si>
  <si>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</si>
  <si>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</si>
  <si>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</si>
  <si>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</si>
  <si>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</si>
  <si>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</si>
  <si>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</si>
  <si>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</si>
  <si>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</si>
  <si>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</si>
  <si>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</si>
  <si>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</si>
  <si>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</si>
  <si>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</si>
  <si>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</si>
  <si>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</si>
  <si>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</si>
  <si>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</si>
  <si>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</si>
  <si>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</si>
  <si>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</si>
  <si>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</si>
  <si>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</si>
  <si>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</si>
  <si>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</si>
  <si>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</si>
  <si>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</si>
  <si>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</si>
  <si>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</si>
  <si>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</si>
  <si>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</si>
  <si>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</si>
  <si>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</si>
  <si>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</si>
  <si>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</si>
  <si>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</si>
  <si>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</si>
  <si>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</si>
  <si>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</si>
  <si>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</si>
  <si>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</si>
  <si>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</si>
  <si>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</si>
  <si>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</si>
  <si>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</si>
  <si>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</si>
  <si>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</si>
  <si>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</si>
  <si>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</si>
  <si>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</si>
  <si>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</si>
  <si>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</si>
  <si>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</si>
  <si>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</si>
  <si>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</si>
  <si>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</si>
  <si>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</si>
  <si>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</si>
  <si>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</si>
  <si>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</si>
  <si>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</si>
  <si>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</si>
  <si>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</si>
  <si>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</si>
  <si>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</si>
  <si>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</si>
  <si>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</si>
  <si>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</si>
  <si>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</si>
  <si>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</si>
  <si>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</si>
  <si>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</si>
  <si>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</si>
  <si>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</si>
  <si>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</si>
  <si>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</si>
  <si>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</si>
  <si>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</si>
  <si>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</si>
  <si>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</si>
  <si>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</si>
  <si>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</si>
  <si>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</si>
  <si>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</si>
  <si>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</si>
  <si>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</si>
  <si>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</si>
  <si>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</si>
  <si>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</si>
  <si>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</si>
  <si>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</si>
  <si>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</si>
  <si>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</si>
  <si>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</si>
  <si>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</si>
  <si>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</si>
  <si>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</si>
  <si>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</si>
  <si>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</si>
  <si>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</si>
  <si>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</si>
  <si>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</si>
  <si>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</si>
  <si>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</si>
  <si>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</si>
  <si>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</si>
  <si>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</si>
  <si>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</si>
  <si>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</si>
  <si>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</si>
  <si>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</si>
  <si>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</si>
  <si>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</si>
  <si>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</si>
  <si>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</si>
  <si>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</si>
  <si>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</si>
  <si>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</si>
  <si>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</si>
  <si>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</si>
  <si>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</si>
  <si>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</si>
  <si>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</si>
  <si>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</si>
  <si>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</si>
  <si>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</si>
  <si>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</si>
  <si>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</si>
  <si>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</si>
  <si>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</si>
  <si>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</si>
  <si>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</si>
  <si>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</si>
  <si>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</si>
  <si>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</si>
  <si>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</si>
  <si>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</si>
  <si>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</si>
  <si>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</si>
  <si>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</si>
  <si>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</si>
  <si>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</si>
  <si>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</si>
  <si>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</si>
  <si>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</si>
  <si>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</si>
  <si>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</si>
  <si>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</si>
  <si>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</si>
  <si>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</si>
  <si>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</si>
  <si>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</si>
  <si>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</si>
  <si>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</si>
  <si>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</si>
  <si>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</si>
  <si>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</si>
  <si>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</si>
  <si>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</si>
  <si>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</si>
  <si>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</si>
  <si>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</si>
  <si>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</si>
  <si>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</si>
  <si>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</si>
  <si>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</si>
  <si>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</si>
  <si>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</si>
  <si>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</si>
  <si>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</si>
  <si>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</si>
  <si>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</si>
  <si>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</si>
  <si>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</si>
  <si>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</si>
  <si>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</si>
  <si>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</si>
  <si>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</si>
  <si>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</si>
  <si>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</si>
  <si>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</si>
  <si>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</si>
  <si>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</si>
  <si>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</si>
  <si>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</si>
  <si>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</si>
  <si>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</si>
  <si>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</si>
  <si>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</si>
  <si>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</si>
  <si>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</si>
  <si>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</si>
  <si>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</si>
  <si>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</si>
  <si>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</si>
  <si>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</si>
  <si>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</si>
  <si>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</si>
  <si>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</si>
  <si>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</si>
  <si>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</si>
  <si>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</si>
  <si>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</si>
  <si>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</si>
  <si>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</si>
  <si>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</si>
  <si>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</si>
  <si>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</si>
  <si>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</si>
  <si>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</si>
  <si>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</si>
  <si>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</si>
  <si>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</si>
  <si>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</si>
  <si>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</si>
  <si>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</si>
  <si>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</si>
  <si>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</si>
  <si>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</si>
  <si>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</si>
  <si>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</si>
  <si>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</si>
  <si>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</si>
  <si>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</si>
  <si>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</si>
  <si>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</si>
  <si>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</si>
  <si>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</si>
  <si>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</si>
  <si>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</si>
  <si>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</si>
  <si>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</si>
  <si>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</si>
  <si>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</si>
  <si>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</si>
  <si>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</si>
  <si>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</si>
  <si>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</si>
  <si>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</si>
  <si>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</si>
  <si>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</si>
  <si>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</si>
  <si>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</si>
  <si>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</si>
  <si>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</si>
  <si>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</si>
  <si>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</si>
  <si>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</si>
  <si>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</si>
  <si>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</si>
  <si>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</si>
  <si>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</si>
  <si>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</si>
  <si>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</si>
  <si>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</si>
  <si>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</si>
  <si>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</si>
  <si>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</si>
  <si>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</si>
  <si>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</si>
  <si>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</si>
  <si>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</si>
  <si>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</si>
  <si>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</si>
  <si>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</si>
  <si>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</si>
  <si>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</si>
  <si>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</si>
  <si>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</si>
  <si>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</si>
  <si>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</si>
  <si>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</si>
  <si>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</si>
  <si>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</si>
  <si>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</si>
  <si>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</si>
  <si>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</si>
  <si>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</si>
  <si>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</si>
  <si>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</si>
  <si>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</si>
  <si>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</si>
  <si>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</si>
  <si>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</si>
  <si>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</si>
  <si>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</si>
  <si>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</si>
  <si>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</si>
  <si>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</si>
  <si>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</si>
  <si>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</si>
  <si>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</si>
  <si>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</si>
  <si>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</si>
  <si>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</si>
  <si>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</si>
  <si>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</si>
  <si>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</si>
  <si>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</si>
  <si>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</si>
  <si>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</si>
  <si>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</si>
  <si>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</si>
  <si>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</si>
  <si>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</si>
  <si>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</si>
  <si>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</si>
  <si>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</si>
  <si>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</si>
  <si>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</si>
  <si>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</si>
  <si>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</si>
  <si>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</si>
  <si>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</si>
  <si>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</si>
  <si>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</si>
  <si>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</si>
  <si>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</si>
  <si>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</si>
  <si>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</si>
  <si>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</si>
  <si>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</si>
  <si>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</si>
  <si>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</si>
  <si>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</si>
  <si>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</si>
  <si>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</si>
  <si>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</si>
  <si>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</si>
  <si>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</si>
  <si>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</si>
  <si>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</si>
  <si>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</si>
  <si>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</si>
  <si>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</si>
  <si>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</si>
  <si>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</si>
  <si>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</si>
  <si>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</si>
  <si>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</si>
  <si>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</si>
  <si>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</si>
  <si>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</si>
  <si>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</si>
  <si>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</si>
  <si>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</si>
  <si>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</si>
  <si>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</si>
  <si>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</si>
  <si>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</si>
  <si>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</si>
  <si>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</si>
  <si>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</si>
  <si>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</si>
  <si>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</si>
  <si>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</si>
  <si>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</si>
  <si>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</si>
  <si>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</si>
  <si>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</si>
  <si>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</si>
  <si>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</si>
  <si>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</si>
  <si>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</si>
  <si>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</si>
  <si>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</si>
  <si>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</si>
  <si>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</si>
  <si>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</si>
  <si>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</si>
  <si>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</si>
  <si>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</si>
  <si>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</si>
  <si>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</si>
  <si>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</si>
  <si>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</si>
  <si>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</si>
  <si>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</si>
  <si>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</si>
  <si>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</si>
  <si>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</si>
  <si>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</si>
  <si>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</si>
  <si>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</si>
  <si>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</si>
  <si>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</si>
  <si>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</si>
  <si>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</si>
  <si>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</si>
  <si>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</si>
  <si>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</si>
  <si>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</si>
  <si>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</si>
  <si>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</si>
  <si>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</si>
  <si>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</si>
  <si>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</si>
  <si>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</si>
  <si>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</si>
  <si>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</si>
  <si>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</si>
  <si>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</si>
  <si>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</si>
  <si>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</si>
  <si>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</si>
  <si>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</si>
  <si>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</si>
  <si>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</si>
  <si>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</si>
  <si>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</si>
  <si>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</si>
  <si>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</si>
  <si>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</si>
  <si>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</si>
  <si>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</si>
  <si>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</si>
  <si>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</si>
  <si>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</si>
  <si>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</si>
  <si>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</si>
  <si>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</si>
  <si>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</si>
  <si>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</si>
  <si>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</si>
  <si>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</si>
  <si>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</si>
  <si>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</si>
  <si>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</si>
  <si>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</si>
  <si>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</si>
  <si>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</si>
  <si>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</si>
  <si>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</si>
  <si>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</si>
  <si>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</si>
  <si>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</si>
  <si>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</si>
  <si>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</si>
  <si>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</si>
  <si>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</si>
  <si>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</si>
  <si>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</si>
  <si>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</si>
  <si>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</si>
  <si>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</si>
  <si>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</si>
  <si>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</si>
  <si>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</si>
  <si>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</si>
  <si>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</si>
  <si>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</si>
  <si>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</si>
  <si>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</si>
  <si>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</si>
  <si>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</si>
  <si>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</si>
  <si>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</si>
  <si>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</si>
  <si>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</si>
  <si>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</si>
  <si>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</si>
  <si>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</si>
  <si>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</si>
  <si>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</si>
  <si>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</si>
  <si>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</si>
  <si>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</si>
  <si>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</si>
  <si>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</si>
  <si>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</si>
  <si>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</si>
  <si>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</si>
  <si>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</si>
  <si>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</si>
  <si>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</si>
  <si>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</si>
  <si>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</si>
  <si>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</si>
  <si>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</si>
  <si>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</si>
  <si>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</si>
  <si>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</si>
  <si>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</si>
  <si>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</si>
  <si>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</si>
  <si>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</si>
  <si>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</si>
  <si>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</si>
  <si>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</si>
  <si>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</si>
  <si>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</si>
  <si>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</si>
  <si>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</si>
  <si>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</si>
  <si>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</si>
  <si>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</si>
  <si>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</si>
  <si>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</si>
  <si>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</si>
  <si>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</si>
  <si>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</si>
  <si>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</si>
  <si>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</si>
  <si>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</si>
  <si>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</si>
  <si>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</si>
  <si>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</si>
  <si>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</si>
  <si>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</si>
  <si>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</si>
  <si>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</si>
  <si>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</si>
  <si>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</si>
  <si>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</si>
  <si>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</si>
  <si>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</si>
  <si>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</si>
  <si>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</si>
  <si>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</si>
  <si>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</si>
  <si>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</si>
  <si>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</si>
  <si>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</si>
  <si>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</si>
  <si>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</si>
  <si>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</si>
  <si>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</si>
  <si>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</si>
  <si>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</si>
  <si>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</si>
  <si>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</si>
  <si>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</si>
  <si>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</si>
  <si>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</si>
  <si>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</si>
  <si>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</si>
  <si>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</si>
  <si>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</si>
  <si>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</si>
  <si>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</si>
  <si>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</si>
  <si>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</si>
  <si>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</si>
  <si>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</si>
  <si>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</si>
  <si>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</si>
  <si>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</si>
  <si>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</si>
  <si>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</si>
  <si>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</si>
  <si>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</si>
  <si>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</si>
  <si>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</si>
  <si>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</si>
  <si>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</si>
  <si>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</si>
  <si>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</si>
  <si>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</si>
  <si>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</si>
  <si>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</si>
  <si>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</si>
  <si>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</si>
  <si>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</si>
  <si>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</si>
  <si>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</si>
  <si>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</si>
  <si>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</si>
  <si>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</si>
  <si>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</si>
  <si>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</si>
  <si>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</si>
  <si>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</si>
  <si>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</si>
  <si>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</si>
  <si>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</si>
  <si>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</si>
  <si>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</si>
  <si>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</si>
  <si>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</si>
  <si>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</si>
  <si>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</si>
  <si>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</si>
  <si>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</si>
  <si>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</si>
  <si>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</si>
  <si>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</si>
  <si>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</si>
  <si>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</si>
  <si>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</si>
  <si>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</si>
  <si>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</si>
  <si>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</si>
  <si>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</si>
  <si>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</si>
  <si>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</si>
  <si>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</si>
  <si>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</si>
  <si>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</si>
  <si>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</si>
  <si>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</si>
  <si>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</si>
  <si>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</si>
  <si>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</si>
  <si>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</si>
  <si>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</si>
  <si>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</si>
  <si>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</si>
  <si>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</si>
  <si>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</si>
  <si>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</si>
  <si>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</si>
  <si>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</si>
  <si>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</si>
  <si>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</si>
  <si>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</si>
  <si>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</si>
  <si>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</si>
  <si>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</si>
  <si>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</si>
  <si>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</si>
  <si>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</si>
  <si>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</si>
  <si>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</si>
  <si>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</si>
  <si>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</si>
  <si>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</si>
  <si>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</si>
  <si>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</si>
  <si>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</si>
  <si>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</si>
  <si>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</si>
  <si>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</si>
  <si>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</si>
  <si>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</si>
  <si>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</si>
  <si>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</si>
  <si>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</si>
  <si>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</si>
  <si>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</si>
  <si>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</si>
  <si>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</si>
  <si>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</si>
  <si>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</si>
  <si>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</si>
  <si>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</si>
  <si>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</si>
  <si>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</si>
  <si>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</si>
  <si>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</si>
  <si>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</si>
  <si>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</si>
  <si>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</si>
  <si>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</si>
  <si>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</si>
  <si>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</si>
  <si>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</si>
  <si>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</si>
  <si>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</si>
  <si>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</si>
  <si>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</si>
  <si>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</si>
  <si>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</si>
  <si>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</si>
  <si>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</si>
  <si>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</si>
  <si>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</si>
  <si>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</si>
  <si>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</si>
  <si>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</si>
  <si>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</si>
  <si>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</si>
  <si>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</si>
  <si>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</si>
  <si>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</si>
  <si>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</si>
  <si>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</si>
  <si>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</si>
  <si>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</si>
  <si>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</si>
  <si>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</si>
  <si>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</si>
  <si>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</si>
  <si>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</si>
  <si>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</si>
  <si>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</si>
  <si>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</si>
  <si>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</si>
  <si>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</si>
  <si>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</si>
  <si>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</si>
  <si>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</si>
  <si>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</si>
  <si>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</si>
  <si>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</si>
  <si>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</si>
  <si>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</si>
  <si>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</si>
  <si>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</si>
  <si>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</si>
  <si>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</si>
  <si>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</si>
  <si>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</si>
  <si>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</si>
  <si>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</si>
  <si>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</si>
  <si>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</si>
  <si>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</si>
  <si>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</si>
  <si>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</si>
  <si>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</si>
  <si>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</si>
  <si>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</si>
  <si>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</si>
  <si>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</si>
  <si>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</si>
  <si>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</si>
  <si>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</si>
  <si>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</si>
  <si>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</si>
  <si>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</si>
  <si>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</si>
  <si>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</si>
  <si>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</si>
  <si>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</si>
  <si>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</si>
  <si>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</si>
  <si>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</si>
  <si>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</si>
  <si>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</si>
  <si>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</si>
  <si>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</si>
  <si>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</si>
  <si>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</si>
  <si>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</si>
  <si>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</si>
  <si>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</si>
  <si>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</si>
  <si>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</si>
  <si>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</si>
  <si>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</si>
  <si>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</si>
  <si>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</si>
  <si>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</si>
  <si>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</si>
  <si>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</si>
  <si>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</si>
  <si>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</si>
  <si>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</si>
  <si>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</si>
  <si>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</si>
  <si>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</si>
  <si>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</si>
  <si>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</si>
  <si>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</si>
  <si>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</si>
  <si>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</si>
  <si>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</si>
  <si>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</si>
  <si>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</si>
  <si>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</si>
  <si>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</si>
  <si>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</si>
  <si>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</si>
  <si>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</si>
  <si>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</si>
  <si>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</si>
  <si>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</si>
  <si>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</si>
  <si>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</si>
  <si>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</si>
  <si>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</si>
  <si>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</si>
  <si>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</si>
  <si>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</si>
  <si>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</si>
  <si>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</si>
  <si>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</si>
  <si>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</si>
  <si>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</si>
  <si>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</si>
  <si>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</si>
  <si>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</si>
  <si>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</si>
  <si>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</si>
  <si>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</si>
  <si>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</si>
  <si>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</si>
  <si>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</si>
  <si>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</si>
  <si>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</si>
  <si>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</si>
  <si>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</si>
  <si>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</si>
  <si>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</si>
  <si>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</si>
  <si>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</si>
  <si>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</si>
  <si>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</si>
  <si>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</si>
  <si>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</si>
  <si>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</si>
  <si>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</si>
  <si>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</si>
  <si>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</si>
  <si>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</si>
  <si>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</si>
  <si>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</si>
  <si>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</si>
  <si>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</si>
  <si>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</si>
  <si>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</si>
  <si>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</si>
  <si>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</si>
  <si>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</si>
  <si>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</si>
  <si>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</si>
  <si>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</si>
  <si>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</si>
  <si>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</si>
  <si>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</si>
  <si>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</si>
  <si>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</si>
  <si>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</si>
  <si>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</si>
  <si>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</si>
  <si>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</si>
  <si>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</si>
  <si>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</si>
  <si>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</si>
  <si>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</si>
  <si>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</si>
  <si>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</si>
  <si>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</si>
  <si>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</si>
  <si>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</si>
  <si>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</si>
  <si>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</si>
  <si>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</si>
  <si>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</si>
  <si>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</si>
  <si>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</si>
  <si>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</si>
  <si>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</si>
  <si>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</si>
  <si>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</si>
  <si>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</si>
  <si>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</si>
  <si>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</si>
  <si>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</si>
  <si>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</si>
  <si>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</si>
  <si>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</si>
  <si>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</si>
  <si>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</si>
  <si>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</si>
  <si>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</si>
  <si>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</si>
  <si>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</si>
  <si>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</si>
  <si>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</si>
  <si>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</si>
  <si>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</si>
  <si>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</si>
  <si>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</si>
  <si>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</si>
  <si>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</si>
  <si>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</si>
  <si>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</si>
  <si>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</si>
  <si>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</si>
  <si>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</si>
  <si>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</si>
  <si>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</si>
  <si>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</si>
  <si>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</si>
  <si>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</si>
  <si>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</si>
  <si>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</si>
  <si>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</si>
  <si>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</si>
  <si>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</si>
  <si>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</si>
  <si>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</si>
  <si>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</si>
  <si>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</si>
  <si>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</si>
  <si>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</si>
  <si>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</si>
  <si>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</si>
  <si>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</si>
  <si>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</si>
  <si>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</si>
  <si>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</si>
  <si>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</si>
  <si>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</si>
  <si>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</si>
  <si>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</si>
  <si>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</si>
  <si>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</si>
  <si>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</si>
  <si>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</si>
  <si>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</si>
  <si>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</si>
  <si>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</si>
  <si>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</si>
  <si>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</si>
  <si>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</si>
  <si>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</si>
  <si>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</si>
  <si>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</si>
  <si>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</si>
  <si>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</si>
  <si>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</si>
  <si>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</si>
  <si>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</si>
  <si>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</si>
  <si>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</si>
  <si>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</si>
  <si>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</si>
  <si>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</si>
  <si>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</si>
  <si>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</si>
  <si>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</si>
  <si>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</si>
  <si>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</si>
  <si>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</si>
  <si>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</si>
  <si>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</si>
  <si>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</si>
  <si>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</si>
  <si>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</si>
  <si>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</si>
  <si>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</si>
  <si>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</si>
  <si>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</si>
  <si>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</si>
  <si>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</si>
  <si>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</si>
  <si>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</si>
  <si>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</si>
  <si>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</si>
  <si>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</si>
  <si>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</si>
  <si>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</si>
  <si>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</si>
  <si>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</si>
  <si>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</si>
  <si>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</si>
  <si>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</si>
  <si>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</si>
  <si>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</si>
  <si>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</si>
  <si>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</si>
  <si>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</si>
  <si>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</si>
  <si>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</si>
  <si>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</si>
  <si>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</si>
  <si>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</si>
  <si>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</si>
  <si>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</si>
  <si>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</si>
  <si>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</si>
  <si>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</si>
  <si>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</si>
  <si>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</si>
  <si>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</si>
  <si>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</si>
  <si>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</si>
  <si>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</si>
  <si>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</si>
  <si>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</si>
  <si>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</si>
  <si>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</si>
  <si>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</si>
  <si>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</si>
  <si>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</si>
  <si>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</si>
  <si>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</si>
  <si>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</si>
  <si>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</si>
  <si>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</si>
  <si>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</si>
  <si>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</si>
  <si>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</si>
  <si>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</si>
  <si>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</si>
  <si>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</si>
  <si>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</si>
  <si>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</si>
  <si>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</si>
  <si>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</si>
  <si>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</si>
  <si>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</si>
  <si>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</si>
  <si>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</si>
  <si>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</si>
  <si>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</si>
  <si>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</si>
  <si>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</si>
  <si>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</si>
  <si>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</si>
  <si>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</si>
  <si>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</si>
  <si>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</si>
  <si>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</si>
  <si>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</si>
  <si>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</si>
  <si>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</si>
  <si>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</si>
  <si>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</si>
  <si>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</si>
  <si>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</si>
  <si>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</si>
  <si>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</si>
  <si>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</si>
  <si>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</si>
  <si>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</si>
  <si>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</si>
  <si>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</si>
  <si>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</si>
  <si>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</si>
  <si>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</si>
  <si>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</si>
  <si>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</si>
  <si>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</si>
  <si>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</si>
  <si>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</si>
  <si>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</si>
  <si>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</si>
  <si>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</si>
  <si>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</si>
  <si>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</si>
  <si>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</si>
  <si>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</si>
  <si>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</si>
  <si>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</si>
  <si>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</si>
  <si>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</si>
  <si>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</si>
  <si>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</si>
  <si>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</si>
  <si>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</si>
  <si>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</si>
  <si>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</si>
  <si>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</si>
  <si>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</si>
  <si>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</si>
  <si>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</si>
  <si>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</si>
  <si>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</si>
  <si>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</si>
  <si>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</si>
  <si>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</si>
  <si>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</si>
  <si>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</si>
  <si>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</si>
  <si>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</si>
  <si>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</si>
  <si>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</si>
  <si>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</si>
  <si>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</si>
  <si>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</si>
  <si>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</si>
  <si>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</si>
  <si>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</si>
  <si>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</si>
  <si>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</si>
  <si>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</si>
  <si>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</si>
  <si>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</si>
  <si>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</si>
  <si>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</si>
  <si>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</si>
  <si>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</si>
  <si>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</si>
  <si>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</si>
  <si>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</si>
  <si>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</si>
  <si>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</si>
  <si>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</si>
  <si>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</si>
  <si>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</si>
  <si>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</si>
  <si>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</si>
  <si>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</si>
  <si>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</si>
  <si>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</si>
  <si>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</si>
  <si>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</si>
  <si>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</si>
  <si>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</si>
  <si>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</si>
  <si>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</si>
  <si>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</si>
  <si>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</si>
  <si>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</si>
  <si>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</si>
  <si>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</si>
  <si>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</si>
  <si>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</si>
  <si>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</si>
  <si>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</si>
  <si>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</si>
  <si>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</si>
  <si>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</si>
  <si>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</si>
  <si>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</si>
  <si>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</si>
  <si>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</si>
  <si>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</si>
  <si>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</si>
  <si>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</si>
  <si>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</si>
  <si>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</si>
  <si>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</si>
  <si>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</si>
  <si>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</si>
  <si>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</si>
  <si>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</si>
  <si>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</si>
  <si>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</si>
  <si>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</si>
  <si>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</si>
  <si>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</si>
  <si>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</si>
  <si>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</si>
  <si>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</si>
  <si>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</si>
  <si>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</si>
  <si>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</si>
  <si>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</si>
  <si>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</si>
  <si>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</si>
  <si>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</si>
  <si>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</si>
  <si>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</si>
  <si>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</si>
  <si>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</si>
  <si>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</si>
  <si>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</si>
  <si>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</si>
  <si>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</si>
  <si>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</si>
  <si>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</si>
  <si>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</si>
  <si>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</si>
  <si>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</si>
  <si>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</si>
  <si>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</si>
  <si>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</si>
  <si>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</si>
  <si>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</si>
  <si>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</si>
  <si>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</si>
  <si>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</si>
  <si>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</si>
  <si>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</si>
  <si>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</si>
  <si>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</si>
  <si>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</si>
  <si>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</si>
  <si>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</si>
  <si>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</si>
  <si>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</si>
  <si>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</si>
  <si>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</si>
  <si>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</si>
  <si>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</si>
  <si>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</si>
  <si>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</si>
  <si>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</si>
  <si>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</si>
  <si>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</si>
  <si>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</si>
  <si>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</si>
  <si>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</si>
  <si>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</si>
  <si>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</si>
  <si>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</si>
  <si>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</si>
  <si>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</si>
  <si>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</si>
  <si>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</si>
  <si>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</si>
  <si>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</si>
  <si>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</si>
  <si>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</si>
  <si>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</si>
  <si>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</si>
  <si>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</si>
  <si>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</si>
  <si>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</si>
  <si>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</si>
  <si>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</si>
  <si>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</si>
  <si>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</si>
  <si>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</si>
  <si>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</si>
  <si>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</si>
  <si>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</si>
  <si>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</si>
  <si>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</si>
  <si>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</si>
  <si>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</si>
  <si>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</si>
  <si>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</si>
  <si>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</si>
  <si>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</si>
  <si>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</si>
  <si>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</si>
  <si>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</si>
  <si>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</si>
  <si>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</si>
  <si>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</si>
  <si>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</si>
  <si>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</si>
  <si>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</si>
  <si>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</si>
  <si>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</si>
  <si>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</si>
  <si>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</si>
  <si>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</si>
  <si>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</si>
  <si>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</si>
  <si>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</si>
  <si>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</si>
  <si>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</si>
  <si>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</si>
  <si>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</si>
  <si>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</si>
  <si>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</si>
  <si>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</si>
  <si>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</si>
  <si>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</si>
  <si>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</si>
  <si>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</si>
  <si>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</si>
  <si>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</si>
  <si>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</si>
  <si>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</si>
  <si>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</si>
  <si>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</si>
  <si>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</si>
  <si>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</si>
  <si>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</si>
  <si>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</si>
  <si>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</si>
  <si>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</si>
  <si>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</si>
  <si>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</si>
  <si>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</si>
  <si>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</si>
  <si>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</si>
  <si>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</si>
  <si>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</si>
  <si>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</si>
  <si>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</si>
  <si>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</si>
  <si>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</si>
  <si>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</si>
  <si>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</si>
  <si>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</si>
  <si>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</si>
  <si>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</si>
  <si>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</si>
  <si>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</si>
  <si>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</si>
  <si>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</si>
  <si>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</si>
  <si>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</si>
  <si>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</si>
  <si>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</si>
  <si>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</si>
  <si>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</si>
  <si>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</si>
  <si>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</si>
  <si>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</si>
  <si>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</si>
  <si>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</si>
  <si>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</si>
  <si>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</si>
  <si>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</si>
  <si>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</si>
  <si>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</si>
  <si>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</si>
  <si>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</si>
  <si>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</si>
  <si>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</si>
  <si>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</si>
  <si>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</si>
  <si>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</si>
  <si>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</si>
  <si>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</si>
  <si>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</si>
  <si>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</si>
  <si>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</si>
  <si>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</si>
  <si>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</si>
  <si>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</si>
  <si>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</si>
  <si>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</si>
  <si>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</si>
  <si>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</si>
  <si>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</si>
  <si>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</si>
  <si>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</si>
  <si>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</si>
  <si>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</si>
  <si>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</si>
  <si>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</si>
  <si>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</si>
  <si>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</si>
  <si>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</si>
  <si>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</si>
  <si>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</si>
  <si>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</si>
  <si>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</si>
  <si>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</si>
  <si>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</si>
  <si>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</si>
  <si>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</si>
  <si>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</si>
  <si>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</si>
  <si>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</si>
  <si>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</si>
  <si>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</si>
  <si>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</si>
  <si>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</si>
  <si>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</si>
  <si>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</si>
  <si>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</si>
  <si>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</si>
  <si>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</si>
  <si>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</si>
  <si>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</si>
  <si>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</si>
  <si>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</si>
  <si>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</si>
  <si>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</si>
  <si>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</si>
  <si>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</si>
  <si>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</si>
  <si>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</si>
  <si>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</si>
  <si>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</si>
  <si>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</si>
  <si>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</si>
  <si>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</si>
  <si>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</si>
  <si>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</si>
  <si>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</si>
  <si>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</si>
  <si>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</si>
  <si>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</si>
  <si>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</si>
  <si>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</si>
  <si>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</si>
  <si>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</si>
  <si>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</si>
  <si>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</si>
  <si>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</si>
  <si>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</si>
  <si>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</si>
  <si>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</si>
  <si>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</si>
  <si>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</si>
  <si>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</si>
  <si>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</si>
  <si>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</si>
  <si>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</si>
  <si>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</si>
  <si>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</si>
  <si>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</si>
  <si>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</si>
  <si>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</si>
  <si>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</si>
  <si>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</si>
  <si>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</si>
  <si>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</si>
  <si>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</si>
  <si>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</si>
  <si>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</si>
  <si>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</si>
  <si>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</si>
  <si>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</si>
  <si>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</si>
  <si>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</si>
  <si>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</si>
  <si>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</si>
  <si>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</si>
  <si>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</si>
  <si>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</si>
  <si>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</si>
  <si>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</si>
  <si>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</si>
  <si>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</si>
  <si>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</si>
  <si>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</si>
  <si>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</si>
  <si>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</si>
  <si>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</si>
  <si>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</si>
  <si>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</si>
  <si>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</si>
  <si>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</si>
  <si>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</si>
  <si>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</si>
  <si>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</si>
  <si>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</si>
  <si>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</si>
  <si>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</si>
  <si>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</si>
  <si>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</si>
  <si>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</si>
  <si>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</si>
  <si>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</si>
  <si>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</si>
  <si>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</si>
  <si>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</si>
  <si>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</si>
  <si>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</si>
  <si>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</si>
  <si>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</si>
  <si>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</si>
  <si>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</si>
  <si>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</si>
  <si>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</si>
  <si>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</si>
  <si>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</si>
  <si>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</si>
  <si>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</si>
  <si>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</si>
  <si>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</si>
  <si>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</si>
  <si>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</si>
  <si>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</si>
  <si>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</si>
  <si>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</si>
  <si>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</si>
  <si>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</si>
  <si>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</si>
  <si>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</si>
  <si>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</si>
  <si>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</si>
  <si>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</si>
  <si>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</si>
  <si>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</si>
  <si>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</si>
  <si>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</si>
  <si>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</si>
  <si>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</si>
  <si>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</si>
  <si>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</si>
  <si>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</si>
  <si>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</si>
  <si>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</si>
  <si>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</si>
  <si>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</si>
  <si>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</si>
  <si>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</si>
  <si>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</si>
  <si>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</si>
  <si>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</si>
  <si>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</si>
  <si>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</si>
  <si>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</si>
  <si>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</si>
  <si>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</si>
  <si>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</si>
  <si>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</si>
  <si>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</si>
  <si>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</si>
  <si>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</si>
  <si>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</si>
  <si>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</si>
  <si>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</si>
  <si>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</si>
  <si>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</si>
  <si>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</si>
  <si>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</si>
  <si>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</si>
  <si>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</si>
  <si>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</si>
  <si>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</si>
  <si>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</si>
  <si>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</si>
  <si>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</si>
  <si>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</si>
  <si>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</si>
  <si>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</si>
  <si>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</si>
  <si>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</si>
  <si>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</si>
  <si>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</si>
  <si>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</si>
  <si>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</si>
  <si>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</si>
  <si>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</si>
  <si>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</si>
  <si>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</si>
  <si>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</si>
  <si>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</si>
  <si>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</si>
  <si>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</si>
  <si>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</si>
  <si>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</si>
  <si>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</si>
  <si>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</si>
  <si>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</si>
  <si>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</si>
  <si>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</si>
  <si>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</si>
  <si>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</si>
  <si>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</si>
  <si>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</si>
  <si>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</si>
  <si>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</si>
  <si>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</si>
  <si>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</si>
  <si>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</si>
  <si>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</si>
  <si>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</si>
  <si>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</si>
  <si>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</si>
  <si>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</si>
  <si>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</si>
  <si>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</si>
  <si>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</si>
  <si>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</si>
  <si>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</si>
  <si>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</si>
  <si>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</si>
  <si>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</si>
  <si>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</si>
  <si>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</si>
  <si>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</si>
  <si>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</si>
  <si>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</si>
  <si>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</si>
  <si>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</si>
  <si>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</si>
  <si>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</si>
  <si>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</si>
  <si>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</si>
  <si>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</si>
  <si>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</si>
  <si>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</si>
  <si>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</si>
  <si>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</si>
  <si>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</si>
  <si>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</si>
  <si>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</si>
  <si>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</si>
  <si>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</si>
  <si>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</si>
  <si>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</si>
  <si>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</si>
  <si>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</si>
  <si>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</si>
  <si>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</si>
  <si>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</si>
  <si>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</si>
  <si>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</si>
  <si>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</si>
  <si>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</si>
  <si>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</si>
  <si>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</si>
  <si>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</si>
  <si>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</si>
  <si>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</si>
  <si>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</si>
  <si>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</si>
  <si>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</si>
  <si>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</si>
  <si>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</si>
  <si>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</si>
  <si>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</si>
  <si>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</si>
  <si>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</si>
  <si>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</si>
  <si>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</si>
  <si>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</si>
  <si>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</si>
  <si>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</si>
  <si>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</si>
  <si>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</si>
  <si>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</si>
  <si>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</si>
  <si>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</si>
  <si>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</si>
  <si>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</si>
  <si>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</si>
  <si>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</si>
  <si>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</si>
  <si>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</si>
  <si>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</si>
  <si>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</si>
  <si>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</si>
  <si>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</si>
  <si>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</si>
  <si>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</si>
  <si>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</si>
  <si>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</si>
  <si>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</si>
  <si>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</si>
  <si>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</si>
  <si>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</si>
  <si>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</si>
  <si>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</si>
  <si>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</si>
  <si>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</si>
  <si>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</si>
  <si>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</si>
  <si>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</si>
  <si>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</si>
  <si>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</si>
  <si>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</si>
  <si>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</si>
  <si>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</si>
  <si>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</si>
  <si>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</si>
  <si>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</si>
  <si>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</si>
  <si>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</si>
  <si>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</si>
  <si>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</si>
  <si>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</si>
  <si>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</si>
  <si>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</si>
  <si>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</si>
  <si>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</si>
  <si>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</si>
  <si>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</si>
  <si>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</si>
  <si>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</si>
  <si>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</si>
  <si>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</si>
  <si>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</si>
  <si>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</si>
  <si>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</si>
  <si>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</si>
  <si>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</si>
  <si>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</si>
  <si>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</si>
  <si>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</si>
  <si>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</si>
  <si>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</si>
  <si>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</si>
  <si>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</si>
  <si>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</si>
  <si>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</si>
  <si>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</si>
  <si>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</si>
  <si>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</si>
  <si>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</si>
  <si>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</si>
  <si>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</si>
  <si>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</si>
  <si>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</si>
  <si>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</si>
  <si>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</si>
  <si>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</si>
  <si>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</si>
  <si>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</si>
  <si>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</si>
  <si>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</si>
  <si>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</si>
  <si>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</si>
  <si>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</si>
  <si>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</si>
  <si>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</si>
  <si>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</si>
  <si>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</si>
  <si>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</si>
  <si>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</si>
  <si>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</si>
  <si>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</si>
  <si>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</si>
  <si>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</si>
  <si>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</si>
  <si>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</si>
  <si>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</si>
  <si>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</si>
  <si>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</si>
  <si>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</si>
  <si>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</si>
  <si>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</si>
  <si>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</si>
  <si>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</si>
  <si>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</si>
  <si>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</si>
  <si>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</si>
  <si>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</si>
  <si>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</si>
  <si>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</si>
  <si>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</si>
  <si>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</si>
  <si>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</si>
  <si>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</si>
  <si>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</si>
  <si>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</si>
  <si>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</si>
  <si>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</si>
  <si>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</si>
  <si>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</si>
  <si>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</si>
  <si>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</si>
  <si>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</si>
  <si>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</si>
  <si>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</si>
  <si>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</si>
  <si>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</si>
  <si>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</si>
  <si>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</si>
  <si>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</si>
  <si>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</si>
  <si>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</si>
  <si>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</si>
  <si>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</si>
  <si>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</si>
  <si>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</si>
  <si>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</si>
  <si>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</si>
  <si>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</si>
  <si>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</si>
  <si>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</si>
  <si>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</si>
  <si>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</si>
  <si>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</si>
  <si>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</si>
  <si>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</si>
  <si>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</si>
  <si>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</si>
  <si>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</si>
  <si>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</si>
  <si>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</si>
  <si>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</si>
  <si>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</si>
  <si>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</si>
  <si>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</si>
  <si>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</si>
  <si>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</si>
  <si>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</si>
  <si>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</si>
  <si>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</si>
  <si>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</si>
  <si>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</si>
  <si>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</si>
  <si>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</si>
  <si>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</si>
  <si>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</si>
  <si>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</si>
  <si>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</si>
  <si>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</si>
  <si>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</si>
  <si>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</si>
  <si>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</si>
  <si>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</si>
  <si>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</si>
  <si>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</si>
  <si>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</si>
  <si>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</si>
  <si>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</si>
  <si>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</si>
  <si>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</si>
  <si>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</si>
  <si>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</si>
  <si>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</si>
  <si>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</si>
  <si>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</si>
  <si>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</si>
  <si>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</si>
  <si>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</si>
  <si>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</si>
  <si>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</si>
  <si>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</si>
  <si>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</si>
  <si>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</si>
  <si>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</si>
  <si>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</si>
  <si>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</si>
  <si>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</si>
  <si>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</si>
  <si>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</si>
  <si>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</si>
  <si>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</si>
  <si>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</si>
  <si>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</si>
  <si>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</si>
  <si>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</si>
  <si>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</si>
  <si>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</si>
  <si>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</si>
  <si>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</si>
  <si>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</si>
  <si>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</si>
  <si>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</si>
  <si>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</si>
  <si>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</si>
  <si>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</si>
  <si>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</si>
  <si>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</si>
  <si>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</si>
  <si>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</si>
  <si>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</si>
  <si>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</si>
  <si>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</si>
  <si>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</si>
  <si>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</si>
  <si>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</si>
  <si>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</si>
  <si>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</si>
  <si>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</si>
  <si>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</si>
  <si>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</si>
  <si>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</si>
  <si>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</si>
  <si>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</si>
  <si>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</si>
  <si>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</si>
  <si>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</si>
  <si>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</si>
  <si>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</si>
  <si>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</si>
  <si>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</si>
  <si>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</si>
  <si>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</si>
  <si>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</si>
  <si>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</si>
  <si>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</si>
  <si>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</si>
  <si>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</si>
  <si>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</si>
  <si>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</si>
  <si>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</si>
  <si>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</si>
  <si>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</si>
  <si>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</si>
  <si>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</si>
  <si>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</si>
  <si>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</si>
  <si>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</si>
  <si>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</si>
  <si>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</si>
  <si>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</si>
  <si>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</si>
  <si>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</si>
  <si>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</si>
  <si>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</si>
  <si>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</si>
  <si>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</si>
  <si>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</si>
  <si>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</si>
  <si>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</si>
  <si>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</si>
  <si>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</si>
  <si>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</si>
  <si>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</si>
  <si>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</si>
  <si>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</si>
  <si>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</si>
  <si>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</si>
  <si>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</si>
  <si>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</si>
  <si>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</si>
  <si>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</si>
  <si>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</si>
  <si>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</si>
  <si>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</si>
  <si>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</si>
  <si>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</si>
  <si>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</si>
  <si>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</si>
  <si>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</si>
  <si>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</si>
  <si>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</si>
  <si>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</si>
  <si>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</si>
  <si>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</si>
  <si>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</si>
  <si>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</si>
  <si>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</si>
  <si>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</si>
  <si>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</si>
  <si>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</si>
  <si>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</si>
  <si>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</si>
  <si>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</si>
  <si>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</si>
  <si>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</si>
  <si>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</si>
  <si>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</si>
  <si>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</si>
  <si>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</si>
  <si>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</si>
  <si>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</si>
  <si>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</si>
  <si>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</si>
  <si>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</si>
  <si>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</si>
  <si>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</si>
  <si>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</si>
  <si>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</si>
  <si>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</si>
  <si>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</si>
  <si>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</si>
  <si>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</si>
  <si>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</si>
  <si>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</si>
  <si>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</si>
  <si>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</si>
  <si>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</si>
  <si>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</si>
  <si>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</si>
  <si>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</si>
  <si>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</si>
  <si>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</si>
  <si>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</si>
  <si>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</si>
  <si>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</si>
  <si>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</si>
  <si>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</si>
  <si>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</si>
  <si>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</si>
  <si>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</si>
  <si>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</si>
  <si>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</si>
  <si>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</si>
  <si>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</si>
  <si>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</si>
  <si>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</si>
  <si>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</si>
  <si>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</si>
  <si>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</si>
  <si>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</si>
  <si>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</si>
  <si>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</si>
  <si>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</si>
  <si>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</si>
  <si>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</si>
  <si>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</si>
  <si>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</si>
  <si>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</si>
  <si>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</si>
  <si>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</si>
  <si>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</si>
  <si>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</si>
  <si>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</si>
  <si>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</si>
  <si>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</si>
  <si>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</si>
  <si>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</si>
  <si>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</si>
  <si>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</si>
  <si>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</si>
  <si>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</si>
  <si>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</si>
  <si>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</si>
  <si>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</si>
  <si>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</si>
  <si>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</si>
  <si>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</si>
  <si>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</si>
  <si>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</si>
  <si>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</si>
  <si>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</si>
  <si>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</si>
  <si>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</si>
  <si>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</si>
  <si>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</si>
  <si>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</si>
  <si>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</si>
  <si>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</si>
  <si>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</si>
  <si>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</si>
  <si>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</si>
  <si>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</si>
  <si>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</si>
  <si>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</si>
  <si>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</si>
  <si>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</si>
  <si>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</si>
  <si>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</si>
  <si>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</si>
  <si>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</si>
  <si>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</si>
  <si>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</si>
  <si>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</si>
  <si>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</si>
  <si>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</si>
  <si>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</si>
  <si>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</si>
  <si>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</si>
  <si>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</si>
  <si>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</si>
  <si>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</si>
  <si>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</si>
  <si>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</si>
  <si>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</si>
  <si>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</si>
  <si>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</si>
  <si>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</si>
  <si>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</si>
  <si>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</si>
  <si>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</si>
  <si>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</si>
  <si>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</si>
  <si>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</si>
  <si>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</si>
  <si>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</si>
  <si>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</si>
  <si>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</si>
  <si>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</si>
  <si>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</si>
  <si>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</si>
  <si>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</si>
  <si>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</si>
  <si>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</si>
  <si>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</si>
  <si>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</si>
  <si>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</si>
  <si>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</si>
  <si>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</si>
  <si>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</si>
  <si>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</si>
  <si>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</si>
  <si>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</si>
  <si>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</si>
  <si>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</si>
  <si>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</si>
  <si>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</si>
  <si>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</si>
  <si>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</si>
  <si>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</si>
  <si>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</si>
  <si>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</si>
  <si>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</si>
  <si>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</si>
  <si>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</si>
  <si>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</si>
  <si>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</si>
  <si>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</si>
  <si>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</si>
  <si>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</si>
  <si>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</si>
  <si>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</si>
  <si>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</si>
  <si>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</si>
  <si>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</si>
  <si>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</si>
  <si>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</si>
  <si>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</si>
  <si>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</si>
  <si>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</si>
  <si>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</si>
  <si>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</si>
  <si>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</si>
  <si>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</si>
  <si>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</si>
  <si>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</si>
  <si>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</si>
  <si>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</si>
  <si>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</si>
  <si>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</si>
  <si>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</si>
  <si>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</si>
  <si>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</si>
  <si>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</si>
  <si>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</si>
  <si>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</si>
  <si>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</si>
  <si>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</si>
  <si>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</si>
  <si>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</si>
  <si>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</si>
  <si>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</si>
  <si>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</si>
  <si>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</si>
  <si>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</si>
  <si>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</si>
  <si>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</si>
  <si>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</si>
  <si>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</si>
  <si>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</si>
  <si>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</si>
  <si>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</si>
  <si>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</si>
  <si>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</si>
  <si>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</si>
  <si>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</si>
  <si>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</si>
  <si>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</si>
  <si>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</si>
  <si>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</si>
  <si>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</si>
  <si>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</si>
  <si>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</si>
  <si>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</si>
  <si>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</si>
  <si>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</si>
  <si>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</si>
  <si>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</si>
  <si>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</si>
  <si>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</si>
  <si>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</si>
  <si>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</si>
  <si>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</si>
  <si>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</si>
  <si>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</si>
  <si>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</si>
  <si>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</si>
  <si>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</si>
  <si>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</si>
  <si>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</si>
  <si>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</si>
  <si>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</si>
  <si>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</si>
  <si>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</si>
  <si>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</si>
  <si>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</si>
  <si>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</si>
  <si>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</si>
  <si>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</si>
  <si>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</si>
  <si>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</si>
  <si>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</si>
  <si>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</si>
  <si>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</si>
  <si>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</si>
  <si>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</si>
  <si>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</si>
  <si>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</si>
  <si>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</si>
  <si>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</si>
  <si>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</si>
  <si>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</si>
  <si>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</si>
  <si>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</si>
  <si>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</si>
  <si>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</si>
  <si>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</si>
  <si>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</si>
  <si>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</si>
  <si>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</si>
  <si>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</si>
  <si>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</si>
  <si>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</si>
  <si>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</si>
  <si>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</si>
  <si>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</si>
  <si>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</si>
  <si>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</si>
  <si>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</si>
  <si>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</si>
  <si>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</si>
  <si>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</si>
  <si>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</si>
  <si>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</si>
  <si>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</si>
  <si>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</si>
  <si>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</si>
  <si>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</si>
  <si>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</si>
  <si>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</si>
  <si>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</si>
  <si>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</si>
  <si>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</si>
  <si>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</si>
  <si>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</si>
  <si>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</si>
  <si>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</si>
  <si>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</si>
  <si>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</si>
  <si>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</si>
  <si>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</si>
  <si>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</si>
  <si>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</si>
  <si>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</si>
  <si>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</si>
  <si>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</si>
  <si>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</si>
  <si>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</si>
  <si>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</si>
  <si>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</si>
  <si>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</si>
  <si>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</si>
  <si>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</si>
  <si>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</si>
  <si>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</si>
  <si>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</si>
  <si>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</si>
  <si>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</si>
  <si>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</si>
  <si>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</si>
  <si>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</si>
  <si>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</si>
  <si>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</si>
  <si>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</si>
  <si>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</si>
  <si>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</si>
  <si>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</si>
  <si>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</si>
  <si>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</si>
  <si>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</si>
  <si>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</si>
  <si>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</si>
  <si>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</si>
  <si>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</si>
  <si>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</si>
  <si>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</si>
  <si>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</si>
  <si>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</si>
  <si>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</si>
  <si>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</si>
  <si>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</si>
  <si>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</si>
  <si>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</si>
  <si>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</si>
  <si>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</si>
  <si>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</si>
  <si>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</si>
  <si>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</si>
  <si>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</si>
  <si>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</si>
  <si>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</si>
  <si>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</si>
  <si>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</si>
  <si>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</si>
  <si>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</si>
  <si>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</si>
  <si>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</si>
  <si>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</si>
  <si>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</si>
  <si>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</si>
  <si>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</si>
  <si>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</si>
  <si>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</si>
  <si>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</si>
  <si>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</si>
  <si>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</si>
  <si>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</si>
  <si>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</si>
  <si>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</si>
  <si>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</si>
  <si>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</si>
  <si>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</si>
  <si>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</si>
  <si>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</si>
  <si>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</si>
  <si>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</si>
  <si>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</si>
  <si>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</si>
  <si>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</si>
  <si>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</si>
  <si>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</si>
  <si>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</si>
  <si>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</si>
  <si>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</si>
  <si>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</si>
  <si>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</si>
  <si>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</si>
  <si>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</si>
  <si>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</si>
  <si>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</si>
  <si>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</si>
  <si>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</si>
  <si>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</si>
  <si>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</si>
  <si>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</si>
  <si>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</si>
  <si>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</si>
  <si>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</si>
  <si>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</si>
  <si>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</si>
  <si>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</si>
  <si>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</si>
  <si>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</si>
  <si>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</si>
  <si>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</si>
  <si>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</si>
  <si>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</si>
  <si>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</si>
  <si>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</si>
  <si>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</si>
  <si>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</si>
  <si>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</si>
  <si>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</si>
  <si>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</si>
  <si>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</si>
  <si>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</si>
  <si>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</si>
  <si>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</si>
  <si>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</si>
  <si>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</si>
  <si>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</si>
  <si>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</si>
  <si>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</si>
  <si>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</si>
  <si>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</si>
  <si>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</si>
  <si>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</si>
  <si>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</si>
  <si>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</si>
  <si>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</si>
  <si>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</si>
  <si>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</si>
  <si>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</si>
  <si>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</si>
  <si>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</si>
  <si>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</si>
  <si>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</si>
  <si>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</si>
  <si>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</si>
  <si>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</si>
  <si>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</si>
  <si>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</si>
  <si>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</si>
  <si>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</si>
  <si>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</si>
  <si>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</si>
  <si>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</si>
  <si>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</si>
  <si>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</si>
  <si>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</si>
  <si>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</si>
  <si>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</si>
  <si>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</si>
  <si>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</si>
  <si>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</si>
  <si>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</si>
  <si>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</si>
  <si>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</si>
  <si>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</si>
  <si>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</si>
  <si>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</si>
  <si>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</si>
  <si>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</si>
  <si>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</si>
  <si>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</si>
  <si>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</si>
  <si>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</si>
  <si>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</si>
  <si>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</si>
  <si>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</si>
  <si>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</si>
  <si>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</si>
  <si>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</si>
  <si>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</si>
  <si>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</si>
  <si>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</si>
  <si>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</si>
  <si>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</si>
  <si>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</si>
  <si>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</si>
  <si>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</si>
  <si>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</si>
  <si>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</si>
  <si>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</si>
  <si>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</si>
  <si>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</si>
  <si>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</si>
  <si>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</si>
  <si>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</si>
  <si>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</si>
  <si>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</si>
  <si>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</si>
  <si>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</si>
  <si>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</si>
  <si>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</si>
  <si>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</si>
  <si>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</si>
  <si>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</si>
  <si>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</si>
  <si>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</si>
  <si>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</si>
  <si>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</si>
  <si>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</si>
  <si>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</si>
  <si>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</si>
  <si>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</si>
  <si>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</si>
  <si>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</si>
  <si>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</si>
  <si>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</si>
  <si>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</si>
  <si>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</si>
  <si>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</si>
  <si>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</si>
  <si>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</si>
  <si>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</si>
  <si>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</si>
  <si>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</si>
  <si>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</si>
  <si>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</si>
  <si>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</si>
  <si>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</si>
  <si>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</si>
  <si>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</si>
  <si>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</si>
  <si>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</si>
  <si>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</si>
  <si>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</si>
  <si>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</si>
  <si>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</si>
  <si>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</si>
  <si>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</si>
  <si>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</si>
  <si>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</si>
  <si>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</si>
  <si>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</si>
  <si>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</si>
  <si>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</si>
  <si>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</si>
  <si>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</si>
  <si>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</si>
  <si>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</si>
  <si>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</si>
  <si>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</si>
  <si>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</si>
  <si>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</si>
  <si>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</si>
  <si>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</si>
  <si>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</si>
  <si>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</si>
  <si>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</si>
  <si>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</si>
  <si>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</si>
  <si>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</si>
  <si>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</si>
  <si>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</si>
  <si>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</si>
  <si>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</si>
  <si>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</si>
  <si>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</si>
  <si>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</si>
  <si>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</si>
  <si>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</si>
  <si>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</si>
  <si>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</si>
  <si>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</si>
  <si>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</si>
  <si>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</si>
  <si>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</si>
  <si>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</si>
  <si>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</si>
  <si>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</si>
  <si>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</si>
  <si>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</si>
  <si>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</si>
  <si>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</si>
  <si>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</si>
  <si>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</si>
  <si>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</si>
  <si>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</si>
  <si>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</si>
  <si>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</si>
  <si>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</si>
  <si>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</si>
  <si>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</si>
  <si>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</si>
  <si>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</si>
  <si>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</si>
  <si>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</si>
  <si>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</si>
  <si>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</si>
  <si>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</si>
  <si>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</si>
  <si>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</si>
  <si>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</si>
  <si>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</si>
  <si>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</si>
  <si>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</si>
  <si>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</si>
  <si>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</si>
  <si>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</si>
  <si>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</si>
  <si>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</si>
  <si>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</si>
  <si>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</si>
  <si>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</si>
  <si>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</si>
  <si>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</si>
  <si>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</si>
  <si>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</si>
  <si>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</si>
  <si>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</si>
  <si>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</si>
  <si>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</si>
  <si>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</si>
  <si>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</si>
  <si>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</si>
  <si>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</si>
  <si>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</si>
  <si>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</si>
  <si>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</si>
  <si>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</si>
  <si>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</si>
  <si>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</si>
  <si>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</si>
  <si>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</si>
  <si>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</si>
  <si>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</si>
  <si>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</si>
  <si>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</si>
  <si>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</si>
  <si>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</si>
  <si>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</si>
  <si>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</si>
  <si>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</si>
  <si>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</si>
  <si>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</si>
  <si>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</si>
  <si>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</si>
  <si>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</si>
  <si>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</si>
  <si>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</si>
  <si>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</si>
  <si>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</si>
  <si>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</si>
  <si>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</si>
  <si>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</si>
  <si>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</si>
  <si>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</si>
  <si>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</si>
  <si>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</si>
  <si>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</si>
  <si>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</si>
  <si>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</si>
  <si>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</si>
  <si>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</si>
  <si>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</si>
  <si>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</si>
  <si>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</si>
  <si>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</si>
  <si>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</si>
  <si>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</si>
  <si>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</si>
  <si>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</si>
  <si>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</si>
  <si>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</si>
  <si>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</si>
  <si>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</si>
  <si>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</si>
  <si>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</si>
  <si>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</si>
  <si>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</si>
  <si>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</si>
  <si>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</si>
  <si>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</si>
  <si>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</si>
  <si>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</si>
  <si>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</si>
  <si>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</si>
  <si>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</si>
  <si>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</si>
  <si>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</si>
  <si>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</si>
  <si>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</si>
  <si>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</si>
  <si>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</si>
  <si>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</si>
  <si>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</si>
  <si>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</si>
  <si>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</si>
  <si>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</si>
  <si>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</si>
  <si>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</si>
  <si>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</si>
  <si>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</si>
  <si>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</si>
  <si>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</si>
  <si>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</si>
  <si>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</si>
  <si>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</si>
  <si>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</si>
  <si>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</si>
  <si>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</si>
  <si>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</si>
  <si>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</si>
  <si>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</si>
  <si>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</si>
  <si>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</si>
  <si>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</si>
  <si>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</si>
  <si>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</si>
  <si>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</si>
  <si>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</si>
  <si>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</si>
  <si>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</si>
  <si>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</si>
  <si>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</si>
  <si>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</si>
  <si>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</si>
  <si>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</si>
  <si>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</si>
  <si>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</si>
  <si>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</si>
  <si>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</si>
  <si>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</si>
  <si>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</si>
  <si>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</si>
  <si>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</si>
  <si>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</si>
  <si>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</si>
  <si>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</si>
  <si>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</si>
  <si>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</si>
  <si>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</si>
  <si>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</si>
  <si>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</si>
  <si>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</si>
  <si>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</si>
  <si>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</si>
  <si>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</si>
  <si>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</si>
  <si>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</si>
  <si>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</si>
  <si>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</si>
  <si>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</si>
  <si>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</si>
  <si>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</si>
  <si>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</si>
  <si>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</si>
  <si>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</si>
  <si>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</si>
  <si>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</si>
  <si>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</si>
  <si>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</si>
  <si>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</si>
  <si>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</si>
  <si>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</si>
  <si>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</si>
  <si>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</si>
  <si>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</si>
  <si>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</si>
  <si>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</si>
  <si>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</si>
  <si>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</si>
  <si>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</si>
  <si>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</si>
  <si>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</si>
  <si>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</si>
  <si>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</si>
  <si>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</si>
  <si>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</si>
  <si>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</si>
  <si>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</si>
  <si>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</si>
  <si>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</si>
  <si>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</si>
  <si>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</si>
  <si>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</si>
  <si>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</si>
  <si>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</si>
  <si>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</si>
  <si>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</si>
  <si>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</si>
  <si>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</si>
  <si>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</si>
  <si>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</si>
  <si>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</si>
  <si>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</si>
  <si>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</si>
  <si>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</si>
  <si>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</si>
  <si>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</si>
  <si>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</si>
  <si>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</si>
  <si>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</si>
  <si>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</si>
  <si>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</si>
  <si>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</si>
  <si>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</si>
  <si>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</si>
  <si>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</si>
  <si>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</si>
  <si>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</si>
  <si>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</si>
  <si>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</si>
  <si>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</si>
  <si>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</si>
  <si>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</si>
  <si>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</si>
  <si>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</si>
  <si>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</si>
  <si>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</si>
  <si>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</si>
  <si>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</si>
  <si>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</si>
  <si>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</si>
  <si>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</si>
  <si>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</si>
  <si>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</si>
  <si>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</si>
  <si>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</si>
  <si>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</si>
  <si>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</si>
  <si>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</si>
  <si>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</si>
  <si>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</si>
  <si>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</si>
  <si>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</si>
  <si>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</si>
  <si>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</si>
  <si>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</si>
  <si>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</si>
  <si>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</si>
  <si>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</si>
  <si>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</si>
  <si>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</si>
  <si>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</si>
  <si>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</si>
  <si>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</si>
  <si>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</si>
  <si>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</si>
  <si>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</si>
  <si>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</si>
  <si>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</si>
  <si>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</si>
  <si>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</si>
  <si>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</si>
  <si>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</si>
  <si>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</si>
  <si>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</si>
  <si>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</si>
  <si>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</si>
  <si>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</si>
  <si>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</si>
  <si>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</si>
  <si>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</si>
  <si>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</si>
  <si>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</si>
  <si>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</si>
  <si>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</si>
  <si>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</si>
  <si>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</si>
  <si>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</si>
  <si>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</si>
  <si>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</si>
  <si>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</si>
  <si>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</si>
  <si>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</si>
  <si>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</si>
  <si>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</si>
  <si>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</si>
  <si>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</si>
  <si>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</si>
  <si>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</si>
  <si>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</si>
  <si>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</si>
  <si>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</si>
  <si>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</si>
  <si>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</si>
  <si>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</si>
  <si>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</si>
  <si>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</si>
  <si>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</si>
  <si>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</si>
  <si>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</si>
  <si>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</si>
  <si>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</si>
  <si>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</si>
  <si>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</si>
  <si>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</si>
  <si>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</si>
  <si>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</si>
  <si>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</si>
  <si>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</si>
  <si>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</si>
  <si>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</si>
  <si>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</si>
  <si>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</si>
  <si>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</si>
  <si>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</si>
  <si>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</si>
  <si>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</si>
  <si>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</si>
  <si>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</si>
  <si>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</si>
  <si>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</si>
  <si>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</si>
  <si>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</si>
  <si>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</si>
  <si>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</si>
  <si>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</si>
  <si>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</si>
  <si>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</si>
  <si>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</si>
  <si>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</si>
  <si>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</si>
  <si>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</si>
  <si>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</si>
  <si>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</si>
  <si>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</si>
  <si>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</si>
  <si>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</si>
  <si>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</si>
  <si>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</si>
  <si>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</si>
  <si>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</si>
  <si>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</si>
  <si>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</si>
  <si>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</si>
  <si>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</si>
  <si>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</si>
  <si>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</si>
  <si>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</si>
  <si>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</si>
  <si>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</si>
  <si>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</si>
  <si>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</si>
  <si>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</si>
  <si>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</si>
  <si>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</si>
  <si>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</si>
  <si>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</si>
  <si>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</si>
  <si>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</si>
  <si>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</si>
  <si>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</si>
  <si>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</si>
  <si>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</si>
  <si>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</si>
  <si>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</si>
  <si>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</si>
  <si>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</si>
  <si>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</si>
  <si>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</si>
  <si>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</si>
  <si>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</si>
  <si>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</si>
  <si>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</si>
  <si>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</si>
  <si>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</si>
  <si>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</si>
  <si>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</si>
  <si>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</si>
  <si>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</si>
  <si>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</si>
  <si>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</si>
  <si>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</si>
  <si>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</si>
  <si>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</si>
  <si>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</si>
  <si>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</si>
  <si>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</si>
  <si>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</si>
  <si>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</si>
  <si>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</si>
  <si>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</si>
  <si>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</si>
  <si>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</si>
  <si>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</si>
  <si>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</si>
  <si>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</si>
  <si>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</si>
  <si>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</si>
  <si>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</si>
  <si>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</si>
  <si>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</si>
  <si>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</si>
  <si>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</si>
  <si>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</si>
  <si>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</si>
  <si>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</si>
  <si>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</si>
  <si>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</si>
  <si>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</si>
  <si>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</si>
  <si>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</si>
  <si>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</si>
  <si>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</si>
  <si>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</si>
  <si>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</si>
  <si>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</si>
  <si>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</si>
  <si>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</si>
  <si>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</si>
  <si>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</si>
  <si>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</si>
  <si>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</si>
  <si>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</si>
  <si>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</si>
  <si>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</si>
  <si>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</si>
  <si>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</si>
  <si>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</si>
  <si>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</si>
  <si>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</si>
  <si>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</si>
  <si>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</si>
  <si>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</si>
  <si>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</si>
  <si>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</si>
  <si>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</si>
  <si>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</si>
  <si>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</si>
  <si>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</si>
  <si>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</si>
  <si>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</si>
  <si>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</si>
  <si>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</si>
  <si>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</si>
  <si>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</si>
  <si>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</si>
  <si>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</si>
  <si>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</si>
  <si>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</si>
  <si>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</si>
  <si>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</si>
  <si>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</si>
  <si>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</si>
  <si>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</si>
  <si>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</si>
  <si>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</si>
  <si>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</si>
  <si>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</si>
  <si>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</si>
  <si>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</si>
  <si>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</si>
  <si>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</si>
  <si>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</si>
  <si>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</si>
  <si>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</si>
  <si>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</si>
  <si>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</si>
  <si>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</si>
  <si>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</si>
  <si>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</si>
  <si>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</si>
  <si>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</si>
  <si>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</si>
  <si>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</si>
  <si>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</si>
  <si>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</si>
  <si>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</si>
  <si>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</si>
  <si>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</si>
  <si>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</si>
  <si>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</si>
  <si>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</si>
  <si>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</si>
  <si>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</si>
  <si>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</si>
  <si>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</si>
  <si>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</si>
  <si>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</si>
  <si>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</si>
  <si>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</si>
  <si>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</si>
  <si>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</si>
  <si>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</si>
  <si>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</si>
  <si>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</si>
  <si>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</si>
  <si>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</si>
  <si>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</si>
  <si>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</si>
  <si>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</si>
  <si>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</si>
  <si>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</si>
  <si>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</si>
  <si>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</si>
  <si>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</si>
  <si>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</si>
  <si>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</si>
  <si>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</si>
  <si>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</si>
  <si>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</si>
  <si>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</si>
  <si>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</si>
  <si>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</si>
  <si>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</si>
  <si>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</si>
  <si>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</si>
  <si>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</si>
  <si>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</si>
  <si>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</si>
  <si>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</si>
  <si>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</si>
  <si>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</si>
  <si>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</si>
  <si>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</si>
  <si>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</si>
  <si>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</si>
  <si>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</si>
  <si>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</si>
  <si>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</si>
  <si>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</si>
  <si>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</si>
  <si>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</si>
  <si>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</si>
  <si>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</si>
  <si>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</si>
  <si>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</si>
  <si>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</si>
  <si>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</si>
  <si>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</si>
  <si>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</si>
  <si>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</si>
  <si>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</si>
  <si>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</si>
  <si>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</si>
  <si>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</si>
  <si>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</si>
  <si>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</si>
  <si>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</si>
  <si>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</si>
  <si>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</si>
  <si>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</si>
  <si>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</si>
  <si>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</si>
  <si>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</si>
  <si>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</si>
  <si>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</si>
  <si>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</si>
  <si>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</si>
  <si>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</si>
  <si>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</si>
  <si>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</si>
  <si>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</si>
  <si>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</si>
  <si>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</si>
  <si>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</si>
  <si>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</si>
  <si>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</si>
  <si>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</si>
  <si>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</si>
  <si>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</si>
  <si>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</si>
  <si>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</si>
  <si>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</si>
  <si>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</si>
  <si>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</si>
  <si>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</si>
  <si>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</si>
  <si>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</si>
  <si>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</si>
  <si>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</si>
  <si>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</si>
  <si>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</si>
  <si>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</si>
  <si>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</si>
  <si>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</si>
  <si>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</si>
  <si>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</si>
  <si>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</si>
  <si>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</si>
  <si>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</si>
  <si>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</si>
  <si>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</si>
  <si>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</si>
  <si>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</si>
  <si>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</si>
  <si>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</si>
  <si>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</si>
  <si>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</si>
  <si>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</si>
  <si>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</si>
  <si>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</si>
  <si>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</si>
  <si>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</si>
  <si>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</si>
  <si>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</si>
  <si>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</si>
  <si>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</si>
  <si>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</si>
  <si>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</si>
  <si>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</si>
  <si>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</si>
  <si>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</si>
  <si>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</si>
  <si>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</si>
  <si>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</si>
  <si>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</si>
  <si>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</si>
  <si>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</si>
  <si>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</si>
  <si>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</si>
  <si>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</si>
  <si>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</si>
  <si>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</si>
  <si>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</si>
  <si>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</si>
  <si>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</si>
  <si>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</si>
  <si>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</si>
  <si>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</si>
  <si>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</si>
  <si>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</si>
  <si>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</si>
  <si>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</si>
  <si>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</si>
  <si>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</si>
  <si>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</si>
  <si>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</si>
  <si>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</si>
  <si>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</si>
  <si>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</si>
  <si>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</si>
  <si>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</si>
  <si>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</si>
  <si>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</si>
  <si>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</si>
  <si>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</si>
  <si>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</si>
  <si>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</si>
  <si>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</si>
  <si>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</si>
  <si>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</si>
  <si>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</si>
  <si>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</si>
  <si>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</si>
  <si>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</si>
  <si>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</si>
  <si>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</si>
  <si>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</si>
  <si>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</si>
  <si>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</si>
  <si>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</si>
  <si>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</si>
  <si>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</si>
  <si>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</si>
  <si>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</si>
  <si>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</si>
  <si>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</si>
  <si>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</si>
  <si>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</si>
  <si>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</si>
  <si>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</si>
  <si>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</si>
  <si>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</si>
  <si>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</si>
  <si>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</si>
  <si>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</si>
  <si>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</si>
  <si>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</si>
  <si>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</si>
  <si>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</si>
  <si>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</si>
  <si>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</si>
  <si>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</si>
  <si>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</si>
  <si>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</si>
  <si>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</si>
  <si>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</si>
  <si>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</si>
  <si>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</si>
  <si>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</si>
  <si>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</si>
  <si>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</si>
  <si>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</si>
  <si>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</si>
  <si>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</si>
  <si>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</si>
  <si>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</si>
  <si>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</si>
  <si>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</si>
  <si>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</si>
  <si>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</si>
  <si>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</si>
  <si>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</si>
  <si>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</si>
  <si>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</si>
  <si>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</si>
  <si>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</si>
  <si>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</si>
  <si>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</si>
  <si>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</si>
  <si>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</si>
  <si>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</si>
  <si>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</si>
  <si>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</si>
  <si>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</si>
  <si>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</si>
  <si>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</si>
  <si>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</si>
  <si>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</si>
  <si>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</si>
  <si>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</si>
  <si>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</si>
  <si>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</si>
  <si>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</si>
  <si>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</si>
  <si>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</si>
  <si>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</si>
  <si>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</si>
  <si>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</si>
  <si>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</si>
  <si>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</si>
  <si>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</si>
  <si>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</si>
  <si>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</si>
  <si>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</si>
  <si>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</si>
  <si>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</si>
  <si>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</si>
  <si>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</si>
  <si>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</si>
  <si>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</si>
  <si>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</si>
  <si>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</si>
  <si>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</si>
  <si>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</si>
  <si>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</si>
  <si>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</si>
  <si>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</si>
  <si>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</si>
  <si>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</si>
  <si>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</si>
  <si>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</si>
  <si>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</si>
  <si>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</si>
  <si>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</si>
  <si>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</si>
  <si>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</si>
  <si>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</si>
  <si>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</si>
  <si>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</si>
  <si>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</si>
  <si>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</si>
  <si>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</si>
  <si>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</si>
  <si>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</si>
  <si>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</si>
  <si>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</si>
  <si>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</si>
  <si>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</si>
  <si>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</si>
  <si>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</si>
  <si>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</si>
  <si>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</si>
  <si>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</si>
  <si>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</si>
  <si>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</si>
  <si>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</si>
  <si>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</si>
  <si>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</si>
  <si>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</si>
  <si>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</si>
  <si>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</si>
  <si>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</si>
  <si>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</si>
  <si>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</si>
  <si>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</si>
  <si>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</si>
  <si>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</si>
  <si>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</si>
  <si>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</si>
  <si>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</si>
  <si>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</si>
  <si>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</si>
  <si>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</si>
  <si>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</si>
  <si>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</si>
  <si>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</si>
  <si>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</si>
  <si>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</si>
  <si>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</si>
  <si>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</si>
  <si>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</si>
  <si>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</si>
  <si>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</si>
  <si>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</si>
  <si>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</si>
  <si>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</si>
  <si>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</si>
  <si>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</si>
  <si>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</si>
  <si>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</si>
  <si>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</si>
  <si>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</si>
  <si>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</si>
  <si>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</si>
  <si>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</si>
  <si>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</si>
  <si>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</si>
  <si>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</si>
  <si>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</si>
  <si>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</si>
  <si>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</si>
  <si>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</si>
  <si>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</si>
  <si>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</si>
  <si>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</si>
  <si>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</si>
  <si>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</si>
  <si>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</si>
  <si>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</si>
  <si>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</si>
  <si>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</si>
  <si>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</si>
  <si>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</si>
  <si>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</si>
  <si>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</si>
  <si>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</si>
  <si>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</si>
  <si>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</si>
  <si>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</si>
  <si>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</si>
  <si>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</si>
  <si>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</si>
  <si>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</si>
  <si>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</si>
  <si>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</si>
  <si>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</si>
  <si>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</si>
  <si>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</si>
  <si>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</si>
  <si>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</si>
  <si>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</si>
  <si>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</si>
  <si>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</si>
  <si>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</si>
  <si>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</si>
  <si>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</si>
  <si>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</si>
  <si>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</si>
  <si>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</si>
  <si>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</si>
  <si>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</si>
  <si>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</si>
  <si>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</si>
  <si>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</si>
  <si>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</si>
  <si>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</si>
  <si>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</si>
  <si>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</si>
  <si>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</si>
  <si>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</si>
  <si>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</si>
  <si>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</si>
  <si>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</si>
  <si>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</si>
  <si>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</si>
  <si>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</si>
  <si>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</si>
  <si>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</si>
  <si>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</si>
  <si>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</si>
  <si>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</si>
  <si>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</si>
  <si>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</si>
  <si>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</si>
  <si>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</si>
  <si>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</si>
  <si>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</si>
  <si>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</si>
  <si>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</si>
  <si>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</si>
  <si>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</si>
  <si>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</si>
  <si>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</si>
  <si>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</si>
  <si>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</si>
  <si>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</si>
  <si>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</si>
  <si>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</si>
  <si>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</si>
  <si>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</si>
  <si>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</si>
  <si>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</si>
  <si>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</si>
  <si>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</si>
  <si>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</si>
  <si>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</si>
  <si>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</si>
  <si>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</si>
  <si>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</si>
  <si>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</si>
  <si>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</si>
  <si>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</si>
  <si>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</si>
  <si>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</si>
  <si>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</si>
  <si>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</si>
  <si>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</si>
  <si>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</si>
  <si>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</si>
  <si>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</si>
  <si>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</si>
  <si>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</si>
  <si>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</si>
  <si>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</si>
  <si>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</si>
  <si>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</si>
  <si>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</si>
  <si>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</si>
  <si>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</si>
  <si>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</si>
  <si>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</si>
  <si>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</si>
  <si>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</si>
  <si>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</si>
  <si>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</si>
  <si>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</si>
  <si>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</si>
  <si>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</si>
  <si>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</si>
  <si>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</si>
  <si>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</si>
  <si>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</si>
  <si>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</si>
  <si>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</si>
  <si>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</si>
  <si>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</si>
  <si>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</si>
  <si>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</si>
  <si>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</si>
  <si>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</si>
  <si>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</si>
  <si>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</si>
  <si>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</si>
  <si>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</si>
  <si>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</si>
  <si>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</si>
  <si>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</si>
  <si>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</si>
  <si>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</si>
  <si>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</si>
  <si>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</si>
  <si>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</si>
  <si>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</si>
  <si>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</si>
  <si>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</si>
  <si>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</si>
  <si>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</si>
  <si>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</si>
  <si>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</si>
  <si>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</si>
  <si>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</si>
  <si>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</si>
  <si>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</si>
  <si>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</si>
  <si>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</si>
  <si>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</si>
  <si>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</si>
  <si>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</si>
  <si>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</si>
  <si>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</si>
  <si>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</si>
  <si>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</si>
  <si>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</si>
  <si>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</si>
  <si>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</si>
  <si>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</si>
  <si>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</si>
  <si>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</si>
  <si>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</si>
  <si>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</si>
  <si>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</si>
  <si>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</si>
  <si>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</si>
  <si>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</si>
  <si>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</si>
  <si>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</si>
  <si>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</si>
  <si>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</si>
  <si>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</si>
  <si>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</si>
  <si>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</si>
  <si>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</si>
  <si>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</si>
  <si>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</si>
  <si>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</si>
  <si>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</si>
  <si>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</si>
  <si>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</si>
  <si>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</si>
  <si>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</si>
  <si>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</si>
  <si>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</si>
  <si>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</si>
  <si>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</si>
  <si>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</si>
  <si>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</si>
  <si>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</si>
  <si>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</si>
  <si>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</si>
  <si>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</si>
  <si>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</si>
  <si>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</si>
  <si>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</si>
  <si>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</si>
  <si>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</si>
  <si>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</si>
  <si>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</si>
  <si>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</si>
  <si>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</si>
  <si>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</si>
  <si>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</si>
  <si>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</si>
  <si>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</si>
  <si>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</si>
  <si>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</si>
  <si>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</si>
  <si>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</si>
  <si>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</si>
  <si>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</si>
  <si>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</si>
  <si>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</si>
  <si>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</si>
  <si>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</si>
  <si>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</si>
  <si>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</si>
  <si>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</si>
  <si>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</si>
  <si>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</si>
  <si>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</si>
  <si>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</si>
  <si>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</si>
  <si>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</si>
  <si>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</si>
  <si>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</si>
  <si>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</si>
  <si>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</si>
  <si>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</si>
  <si>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</si>
  <si>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</si>
  <si>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</si>
  <si>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</si>
  <si>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</si>
  <si>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</si>
  <si>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</si>
  <si>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</si>
  <si>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</si>
  <si>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</si>
  <si>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</si>
  <si>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</si>
  <si>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</si>
  <si>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</si>
  <si>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</si>
  <si>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</si>
  <si>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</si>
  <si>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</si>
  <si>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</si>
  <si>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</si>
  <si>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</si>
  <si>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</si>
  <si>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</si>
  <si>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</si>
  <si>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</si>
  <si>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</si>
  <si>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</si>
  <si>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</si>
  <si>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</si>
  <si>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</si>
  <si>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</si>
  <si>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</si>
  <si>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</si>
  <si>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</si>
  <si>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</si>
  <si>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</si>
  <si>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</si>
  <si>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</si>
  <si>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</si>
  <si>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</si>
  <si>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</si>
  <si>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</si>
  <si>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</si>
  <si>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</si>
  <si>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</si>
  <si>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</si>
  <si>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</si>
  <si>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</si>
  <si>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</si>
  <si>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</si>
  <si>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</si>
  <si>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</si>
  <si>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</si>
  <si>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</si>
  <si>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</si>
  <si>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</si>
  <si>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</si>
  <si>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</si>
  <si>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</si>
  <si>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</si>
  <si>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</si>
  <si>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</si>
  <si>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</si>
  <si>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</si>
  <si>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</si>
  <si>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</si>
  <si>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</si>
  <si>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</si>
  <si>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</si>
  <si>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</si>
  <si>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</si>
  <si>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</si>
  <si>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</si>
  <si>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</si>
  <si>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</si>
  <si>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</si>
  <si>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</si>
  <si>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</si>
  <si>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</si>
  <si>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</si>
  <si>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</si>
  <si>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</si>
  <si>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</si>
  <si>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</si>
  <si>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</si>
  <si>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</si>
  <si>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</si>
  <si>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</si>
  <si>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</si>
  <si>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</si>
  <si>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</si>
  <si>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</si>
  <si>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</si>
  <si>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</si>
  <si>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</si>
  <si>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</si>
  <si>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</si>
  <si>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</si>
  <si>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</si>
  <si>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</si>
  <si>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</si>
  <si>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</si>
  <si>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</si>
  <si>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</si>
  <si>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</si>
  <si>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</si>
  <si>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</si>
  <si>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</si>
  <si>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</si>
  <si>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</si>
  <si>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</si>
  <si>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</si>
  <si>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</si>
  <si>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</si>
  <si>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</si>
  <si>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</si>
  <si>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</si>
  <si>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</si>
  <si>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</si>
  <si>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</si>
  <si>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</si>
  <si>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</si>
  <si>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</si>
  <si>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</si>
  <si>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</si>
  <si>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</si>
  <si>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</si>
  <si>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</si>
  <si>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</si>
  <si>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</si>
  <si>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</si>
  <si>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</si>
  <si>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</si>
  <si>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</si>
  <si>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</si>
  <si>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</si>
  <si>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</si>
  <si>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</si>
  <si>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</si>
  <si>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</si>
  <si>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</si>
  <si>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</si>
  <si>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</si>
  <si>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</si>
  <si>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</si>
  <si>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</si>
  <si>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</si>
  <si>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</si>
  <si>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</si>
  <si>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</si>
  <si>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</si>
  <si>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</si>
  <si>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</si>
  <si>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</si>
  <si>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</si>
  <si>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</si>
  <si>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</si>
  <si>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</si>
  <si>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</si>
  <si>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</si>
  <si>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</si>
  <si>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</si>
  <si>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</si>
  <si>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</si>
  <si>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</si>
  <si>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</si>
  <si>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</si>
  <si>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</si>
  <si>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</si>
  <si>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</si>
  <si>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</si>
  <si>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</si>
  <si>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</si>
  <si>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</si>
  <si>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</si>
  <si>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</si>
  <si>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</si>
  <si>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</si>
  <si>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</si>
  <si>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</si>
  <si>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</si>
  <si>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</si>
  <si>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</si>
  <si>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</si>
  <si>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</si>
  <si>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</si>
  <si>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</si>
  <si>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</si>
  <si>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</si>
  <si>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</si>
  <si>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</si>
  <si>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</si>
  <si>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</si>
  <si>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</si>
  <si>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</si>
  <si>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</si>
  <si>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</si>
  <si>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</si>
  <si>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</si>
  <si>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</si>
  <si>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</si>
  <si>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</si>
  <si>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</si>
  <si>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</si>
  <si>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</si>
  <si>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</si>
  <si>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</si>
  <si>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</si>
  <si>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</si>
  <si>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</si>
  <si>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</si>
  <si>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</si>
  <si>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</si>
  <si>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</si>
  <si>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</si>
  <si>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</si>
  <si>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</si>
  <si>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</si>
  <si>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</si>
  <si>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</si>
  <si>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</si>
  <si>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</si>
  <si>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</si>
  <si>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</si>
  <si>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</si>
  <si>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</si>
  <si>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</si>
  <si>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</si>
  <si>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</si>
  <si>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</si>
  <si>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</si>
  <si>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</si>
  <si>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</si>
  <si>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</si>
  <si>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</si>
  <si>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</si>
  <si>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</si>
  <si>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</si>
  <si>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</si>
  <si>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</si>
  <si>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</si>
  <si>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</si>
  <si>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</si>
  <si>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</si>
  <si>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</si>
  <si>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</si>
  <si>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</si>
  <si>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</si>
  <si>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</si>
  <si>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</si>
  <si>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</si>
  <si>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</si>
  <si>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</si>
  <si>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</si>
  <si>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</si>
  <si>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</si>
  <si>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</si>
  <si>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</si>
  <si>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</si>
  <si>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</si>
  <si>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</si>
  <si>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</si>
  <si>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</si>
  <si>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</si>
  <si>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</si>
  <si>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</si>
  <si>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</si>
  <si>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</si>
  <si>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</si>
  <si>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</si>
  <si>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</si>
  <si>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</si>
  <si>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</si>
  <si>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</si>
  <si>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</si>
  <si>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</si>
  <si>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</si>
  <si>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</si>
  <si>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</si>
  <si>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</si>
  <si>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</si>
  <si>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</si>
  <si>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</si>
  <si>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</si>
  <si>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</si>
  <si>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</si>
  <si>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</si>
  <si>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</si>
  <si>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</si>
  <si>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</si>
  <si>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</si>
  <si>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</si>
  <si>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</si>
  <si>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</si>
  <si>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</si>
  <si>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</si>
  <si>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</si>
  <si>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</si>
  <si>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</si>
  <si>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</si>
  <si>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</si>
  <si>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</si>
  <si>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</si>
  <si>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</si>
  <si>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</si>
  <si>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</si>
  <si>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</si>
  <si>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</si>
  <si>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</si>
  <si>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</si>
  <si>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</si>
  <si>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</si>
  <si>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</si>
  <si>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</si>
  <si>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</si>
  <si>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</si>
  <si>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</si>
  <si>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</si>
  <si>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</si>
  <si>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</si>
  <si>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</si>
  <si>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</si>
  <si>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</si>
  <si>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</si>
  <si>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</si>
  <si>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</si>
  <si>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</si>
  <si>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</si>
  <si>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</si>
  <si>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</si>
  <si>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</si>
  <si>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</si>
  <si>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</si>
  <si>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</si>
  <si>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</si>
  <si>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</si>
  <si>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</si>
  <si>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</si>
  <si>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</si>
  <si>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</si>
  <si>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</si>
  <si>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</si>
  <si>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</si>
  <si>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</si>
  <si>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</si>
  <si>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</si>
  <si>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</si>
  <si>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</si>
  <si>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</si>
  <si>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</si>
  <si>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</si>
  <si>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</si>
  <si>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</si>
  <si>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</si>
  <si>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</si>
  <si>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</si>
  <si>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</si>
  <si>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</si>
  <si>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</si>
  <si>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</si>
  <si>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</si>
  <si>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</si>
  <si>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</si>
  <si>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</si>
  <si>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</si>
  <si>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</si>
  <si>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</si>
  <si>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</si>
  <si>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</si>
  <si>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</si>
  <si>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</si>
  <si>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</si>
  <si>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</si>
  <si>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</si>
  <si>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</si>
  <si>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</si>
  <si>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</si>
  <si>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</si>
  <si>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</si>
  <si>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</si>
  <si>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</si>
  <si>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</si>
  <si>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</si>
  <si>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</si>
  <si>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</si>
  <si>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</si>
  <si>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</si>
  <si>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</si>
  <si>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</si>
  <si>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</si>
  <si>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</si>
  <si>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</si>
  <si>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</si>
  <si>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</si>
  <si>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</si>
  <si>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</si>
  <si>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</si>
  <si>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</si>
  <si>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</si>
  <si>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</si>
  <si>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</si>
  <si>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</si>
  <si>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</si>
  <si>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</si>
  <si>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</si>
  <si>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</si>
  <si>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</si>
  <si>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</si>
  <si>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</si>
  <si>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</si>
  <si>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</si>
  <si>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</si>
  <si>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</si>
  <si>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</si>
  <si>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</si>
  <si>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</si>
  <si>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</si>
  <si>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</si>
  <si>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</si>
  <si>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</si>
  <si>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</si>
  <si>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</si>
  <si>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</si>
  <si>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</si>
  <si>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</si>
  <si>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</si>
  <si>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</si>
  <si>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</si>
  <si>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</si>
  <si>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</si>
  <si>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</si>
  <si>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</si>
  <si>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</si>
  <si>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</si>
  <si>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</si>
  <si>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</si>
  <si>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</si>
  <si>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</si>
  <si>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</si>
  <si>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</si>
  <si>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</si>
  <si>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</si>
  <si>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</si>
  <si>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</si>
  <si>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</si>
  <si>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</si>
  <si>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</si>
  <si>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</si>
  <si>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</si>
  <si>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</si>
  <si>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</si>
  <si>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</si>
  <si>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</si>
  <si>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</si>
  <si>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</si>
  <si>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</si>
  <si>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</si>
  <si>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</si>
  <si>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</si>
  <si>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</si>
  <si>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</si>
  <si>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</si>
  <si>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</si>
  <si>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</si>
  <si>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</si>
  <si>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</si>
  <si>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</si>
  <si>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</si>
  <si>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</si>
  <si>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</si>
  <si>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</si>
  <si>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</si>
  <si>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</si>
  <si>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</si>
  <si>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</si>
  <si>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</si>
  <si>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</si>
  <si>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</si>
  <si>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</si>
  <si>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</si>
  <si>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</si>
  <si>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</si>
  <si>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</si>
  <si>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</si>
  <si>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</si>
  <si>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</si>
  <si>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</si>
  <si>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</si>
  <si>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</si>
  <si>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</si>
  <si>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</si>
  <si>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</si>
  <si>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</si>
  <si>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</si>
  <si>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</si>
  <si>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</si>
  <si>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</si>
  <si>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</si>
  <si>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</si>
  <si>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</si>
  <si>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</si>
  <si>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</si>
  <si>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</si>
  <si>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</si>
  <si>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</si>
  <si>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</si>
  <si>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</si>
  <si>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</si>
  <si>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</si>
  <si>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</si>
  <si>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</si>
  <si>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</si>
  <si>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</si>
  <si>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</si>
  <si>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</si>
  <si>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</si>
  <si>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</si>
  <si>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</si>
  <si>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</si>
  <si>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</si>
  <si>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</si>
  <si>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</si>
  <si>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</si>
  <si>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</si>
  <si>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</si>
  <si>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</si>
  <si>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</si>
  <si>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</si>
  <si>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</si>
  <si>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</si>
  <si>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</si>
  <si>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</si>
  <si>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</si>
  <si>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</si>
  <si>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</si>
  <si>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</si>
  <si>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</si>
  <si>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</si>
  <si>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</si>
  <si>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</si>
  <si>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</si>
  <si>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</si>
  <si>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</si>
  <si>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</si>
  <si>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</si>
  <si>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</si>
  <si>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</si>
  <si>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</si>
  <si>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</si>
  <si>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</si>
  <si>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</si>
  <si>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</si>
  <si>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</si>
  <si>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</si>
  <si>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</si>
  <si>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</si>
  <si>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</si>
  <si>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</si>
  <si>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</si>
  <si>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</si>
  <si>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</si>
  <si>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</si>
  <si>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</si>
  <si>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</si>
  <si>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</si>
  <si>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</si>
  <si>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</si>
  <si>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</si>
  <si>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</si>
  <si>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</si>
  <si>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</si>
  <si>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</si>
  <si>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</si>
  <si>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</si>
  <si>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</si>
  <si>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</si>
  <si>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</si>
  <si>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</si>
  <si>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</si>
  <si>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</si>
  <si>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</si>
  <si>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</si>
  <si>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</si>
  <si>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</si>
  <si>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</si>
  <si>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</si>
  <si>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</si>
  <si>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</si>
  <si>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</si>
  <si>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</si>
  <si>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</si>
  <si>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</si>
  <si>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</si>
  <si>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</si>
  <si>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</si>
  <si>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</si>
  <si>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</si>
  <si>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</si>
  <si>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</si>
  <si>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</si>
  <si>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</si>
  <si>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</si>
  <si>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</si>
  <si>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</si>
  <si>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</si>
  <si>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</si>
  <si>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</si>
  <si>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</si>
  <si>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</si>
  <si>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</si>
  <si>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</si>
  <si>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</si>
  <si>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</si>
  <si>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</si>
  <si>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</si>
  <si>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</si>
  <si>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</si>
  <si>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</si>
  <si>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</si>
  <si>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</si>
  <si>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</si>
  <si>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</si>
  <si>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</si>
  <si>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</si>
  <si>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</si>
  <si>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</si>
  <si>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</si>
  <si>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</si>
  <si>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</si>
  <si>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</si>
  <si>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</si>
  <si>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</si>
  <si>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</si>
  <si>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</si>
  <si>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</si>
  <si>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</si>
  <si>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</si>
  <si>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</si>
  <si>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</si>
  <si>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</si>
  <si>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</si>
  <si>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</si>
  <si>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</si>
  <si>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</si>
  <si>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</si>
  <si>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</si>
  <si>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</si>
  <si>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</si>
  <si>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</si>
  <si>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</si>
  <si>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</si>
  <si>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</si>
  <si>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</si>
  <si>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</si>
  <si>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</si>
  <si>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</si>
  <si>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</si>
  <si>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</si>
  <si>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</si>
  <si>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</si>
  <si>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</si>
  <si>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</si>
  <si>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</si>
  <si>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</si>
  <si>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</si>
  <si>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</si>
  <si>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</si>
  <si>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</si>
  <si>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</si>
  <si>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</si>
  <si>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</si>
  <si>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</si>
  <si>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</si>
  <si>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</si>
  <si>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</si>
  <si>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</si>
  <si>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</si>
  <si>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</si>
  <si>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</si>
  <si>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</si>
  <si>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</si>
  <si>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</si>
  <si>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</si>
  <si>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</si>
  <si>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</si>
  <si>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</si>
  <si>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</si>
  <si>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</si>
  <si>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</si>
  <si>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</si>
  <si>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</si>
  <si>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</si>
  <si>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</si>
  <si>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</si>
  <si>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</si>
  <si>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</si>
  <si>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</si>
  <si>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</si>
  <si>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</si>
  <si>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</si>
  <si>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</si>
  <si>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</si>
  <si>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</si>
  <si>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</si>
  <si>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</si>
  <si>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</si>
  <si>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</si>
  <si>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</si>
  <si>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</si>
  <si>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</si>
  <si>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</si>
  <si>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</si>
  <si>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</si>
  <si>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</si>
  <si>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</si>
  <si>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</si>
  <si>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</si>
  <si>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</si>
  <si>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</si>
  <si>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</si>
  <si>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</si>
  <si>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</si>
  <si>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</si>
  <si>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</si>
  <si>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</si>
  <si>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</si>
  <si>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</si>
  <si>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</si>
  <si>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</si>
  <si>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</si>
  <si>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</si>
  <si>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</si>
  <si>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</si>
  <si>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</si>
  <si>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</si>
  <si>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</si>
  <si>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</si>
  <si>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</si>
  <si>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</si>
  <si>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</si>
  <si>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</si>
  <si>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</si>
  <si>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</si>
  <si>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</si>
  <si>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</si>
  <si>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</si>
  <si>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</si>
  <si>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</si>
  <si>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</si>
  <si>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</si>
  <si>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</si>
  <si>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</si>
  <si>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</si>
  <si>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</si>
  <si>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</si>
  <si>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</si>
  <si>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</si>
  <si>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</si>
  <si>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</si>
  <si>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</si>
  <si>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</si>
  <si>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</si>
  <si>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</si>
  <si>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</si>
  <si>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</si>
  <si>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</si>
  <si>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</si>
  <si>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</si>
  <si>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</si>
  <si>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</si>
  <si>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</si>
  <si>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</si>
  <si>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</si>
  <si>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</si>
  <si>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</si>
  <si>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</si>
  <si>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</si>
  <si>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</si>
  <si>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</si>
  <si>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</si>
  <si>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</si>
  <si>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</si>
  <si>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</si>
  <si>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</si>
  <si>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</si>
  <si>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</si>
  <si>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</si>
  <si>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</si>
  <si>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</si>
  <si>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</si>
  <si>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</si>
  <si>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</si>
  <si>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</si>
  <si>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</si>
  <si>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</si>
  <si>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</si>
  <si>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</si>
  <si>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</si>
  <si>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</si>
  <si>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</si>
  <si>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</si>
  <si>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</si>
  <si>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</si>
  <si>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</si>
  <si>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</si>
  <si>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</si>
  <si>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</si>
  <si>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</si>
  <si>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</si>
  <si>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</si>
  <si>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</si>
  <si>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</si>
  <si>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</si>
  <si>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</si>
  <si>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</si>
  <si>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</si>
  <si>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</si>
  <si>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</si>
  <si>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</si>
  <si>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</si>
  <si>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</si>
  <si>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</si>
  <si>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</si>
  <si>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</si>
  <si>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</si>
  <si>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</si>
  <si>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</si>
  <si>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</si>
  <si>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</si>
  <si>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</si>
  <si>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</si>
  <si>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</si>
  <si>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</si>
  <si>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</si>
  <si>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</si>
  <si>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</si>
  <si>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</si>
  <si>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</si>
  <si>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</si>
  <si>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</si>
  <si>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</si>
  <si>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</si>
  <si>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</si>
  <si>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</si>
  <si>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</si>
  <si>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</si>
  <si>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</si>
  <si>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</si>
  <si>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</si>
  <si>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</si>
  <si>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</si>
  <si>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</si>
  <si>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</si>
  <si>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</si>
  <si>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</si>
  <si>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</si>
  <si>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</si>
  <si>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</si>
  <si>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</si>
  <si>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</si>
  <si>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</si>
  <si>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</si>
  <si>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</si>
  <si>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</si>
  <si>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</si>
  <si>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</si>
  <si>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</si>
  <si>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</si>
  <si>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</si>
  <si>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</si>
  <si>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</si>
  <si>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</si>
  <si>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</si>
  <si>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</si>
  <si>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</si>
  <si>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</si>
  <si>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</si>
  <si>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</si>
  <si>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</si>
  <si>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</si>
  <si>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</si>
  <si>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</si>
  <si>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</si>
  <si>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</si>
  <si>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</si>
  <si>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</si>
  <si>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</si>
  <si>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</si>
  <si>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</si>
  <si>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</si>
  <si>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</si>
  <si>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</si>
  <si>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</si>
  <si>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</si>
  <si>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</si>
  <si>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</si>
  <si>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</si>
  <si>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</si>
  <si>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</si>
  <si>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</si>
  <si>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</si>
  <si>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</si>
  <si>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</si>
  <si>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</si>
  <si>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</si>
  <si>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</si>
  <si>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</si>
  <si>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</si>
  <si>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</si>
  <si>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</si>
  <si>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</si>
  <si>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</si>
  <si>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</si>
  <si>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</si>
  <si>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</si>
  <si>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</si>
  <si>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</si>
  <si>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</si>
  <si>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</si>
  <si>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</si>
  <si>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</si>
  <si>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</si>
  <si>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</si>
  <si>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</si>
  <si>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</si>
  <si>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</si>
  <si>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</si>
  <si>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</si>
  <si>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</si>
  <si>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</si>
  <si>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</si>
  <si>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</si>
  <si>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</si>
  <si>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</si>
  <si>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</si>
  <si>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</si>
  <si>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</si>
  <si>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</si>
  <si>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</si>
  <si>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</si>
  <si>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</si>
  <si>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</si>
  <si>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</si>
  <si>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</si>
  <si>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</si>
  <si>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</si>
  <si>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</si>
  <si>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</si>
  <si>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</si>
  <si>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</si>
  <si>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</si>
  <si>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</si>
  <si>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</si>
  <si>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</si>
  <si>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</si>
  <si>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</si>
  <si>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</si>
  <si>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</si>
  <si>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</si>
  <si>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</si>
  <si>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</si>
  <si>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</si>
  <si>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</si>
  <si>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</si>
  <si>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</si>
  <si>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</si>
  <si>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</si>
  <si>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</si>
  <si>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</si>
  <si>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</si>
  <si>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</si>
  <si>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</si>
  <si>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</si>
  <si>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</si>
  <si>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</si>
  <si>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</si>
  <si>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</si>
  <si>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</si>
  <si>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</si>
  <si>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</si>
  <si>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</si>
  <si>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</si>
  <si>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</si>
  <si>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</si>
  <si>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</si>
  <si>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</si>
  <si>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</si>
  <si>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</si>
  <si>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</si>
  <si>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</si>
  <si>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</si>
  <si>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</si>
  <si>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</si>
  <si>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</si>
  <si>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</si>
  <si>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</si>
  <si>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</si>
  <si>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</si>
  <si>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</si>
  <si>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</si>
  <si>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</si>
  <si>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</si>
  <si>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</si>
  <si>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</si>
  <si>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</si>
  <si>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</si>
  <si>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</si>
  <si>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</si>
  <si>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</si>
  <si>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</si>
  <si>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</si>
  <si>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</si>
  <si>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</si>
  <si>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</si>
  <si>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</si>
  <si>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</si>
  <si>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</si>
  <si>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</si>
  <si>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</si>
  <si>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</si>
  <si>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</si>
  <si>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</si>
  <si>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</si>
  <si>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</si>
  <si>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</si>
  <si>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</si>
  <si>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</si>
  <si>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</si>
  <si>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</si>
  <si>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</si>
  <si>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</si>
  <si>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</si>
  <si>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</si>
  <si>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</si>
  <si>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</si>
  <si>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</si>
  <si>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</si>
  <si>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</si>
  <si>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</si>
  <si>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</si>
  <si>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</si>
  <si>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</si>
  <si>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</si>
  <si>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</si>
  <si>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</si>
  <si>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</si>
  <si>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</si>
  <si>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</si>
  <si>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</si>
  <si>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</si>
  <si>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</si>
  <si>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</si>
  <si>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</si>
  <si>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</si>
  <si>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</si>
  <si>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</si>
  <si>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</si>
  <si>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</si>
  <si>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</si>
  <si>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</si>
  <si>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</si>
  <si>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</si>
  <si>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</si>
  <si>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</si>
  <si>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</si>
  <si>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</si>
  <si>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</si>
  <si>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</si>
  <si>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</si>
  <si>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</si>
  <si>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</si>
  <si>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</si>
  <si>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</si>
  <si>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</si>
  <si>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</si>
  <si>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</si>
  <si>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</si>
  <si>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</si>
  <si>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</si>
  <si>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</si>
  <si>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</si>
  <si>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</si>
  <si>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</si>
  <si>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</si>
  <si>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</si>
  <si>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</si>
  <si>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</si>
  <si>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</si>
  <si>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</si>
  <si>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</si>
  <si>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</si>
  <si>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</si>
  <si>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</si>
  <si>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</si>
  <si>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</si>
  <si>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</si>
  <si>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</si>
  <si>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</si>
  <si>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</si>
  <si>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</si>
  <si>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</si>
  <si>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</si>
  <si>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</si>
  <si>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</si>
  <si>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</si>
  <si>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</si>
  <si>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</si>
  <si>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</si>
  <si>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</si>
  <si>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</si>
  <si>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</si>
  <si>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</si>
  <si>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</si>
  <si>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</si>
  <si>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</si>
  <si>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</si>
  <si>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</si>
  <si>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</si>
  <si>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</si>
  <si>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</si>
  <si>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</si>
  <si>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</si>
  <si>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</si>
  <si>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</si>
  <si>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</si>
  <si>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</si>
  <si>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</si>
  <si>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</si>
  <si>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</si>
  <si>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</si>
  <si>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</si>
  <si>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</si>
  <si>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</si>
  <si>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</si>
  <si>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</si>
  <si>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</si>
  <si>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</si>
  <si>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</si>
  <si>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</si>
  <si>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</si>
  <si>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</si>
  <si>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</si>
  <si>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</si>
  <si>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</si>
  <si>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</si>
  <si>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</si>
  <si>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</si>
  <si>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</si>
  <si>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</si>
  <si>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</si>
  <si>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</si>
  <si>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</si>
  <si>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</si>
  <si>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</si>
  <si>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</si>
  <si>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</si>
  <si>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</si>
  <si>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</si>
  <si>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</si>
  <si>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</si>
  <si>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</si>
  <si>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</si>
  <si>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</si>
  <si>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</si>
  <si>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</si>
  <si>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</si>
  <si>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</si>
  <si>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</si>
  <si>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</si>
  <si>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</si>
  <si>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</si>
  <si>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</si>
  <si>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</si>
  <si>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</si>
  <si>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</si>
  <si>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</si>
  <si>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</si>
  <si>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</si>
  <si>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</si>
  <si>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</si>
  <si>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</si>
  <si>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</si>
  <si>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</si>
  <si>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</si>
  <si>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</si>
  <si>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</si>
  <si>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</si>
  <si>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</si>
  <si>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</si>
  <si>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</si>
  <si>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</si>
  <si>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</si>
  <si>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</si>
  <si>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</si>
  <si>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</si>
  <si>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</si>
  <si>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</si>
  <si>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</si>
  <si>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</si>
  <si>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</si>
  <si>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</si>
  <si>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</si>
  <si>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</si>
  <si>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</si>
  <si>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</si>
  <si>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</si>
  <si>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</si>
  <si>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</si>
  <si>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</si>
  <si>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</si>
  <si>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</si>
  <si>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</si>
  <si>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</si>
  <si>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</si>
  <si>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</si>
  <si>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</si>
  <si>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</si>
  <si>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</si>
  <si>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</si>
  <si>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</si>
  <si>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</si>
  <si>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</si>
  <si>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</si>
  <si>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</si>
  <si>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</si>
  <si>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</si>
  <si>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</si>
  <si>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</si>
  <si>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</si>
  <si>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</si>
  <si>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</si>
  <si>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</si>
  <si>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</si>
  <si>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</si>
  <si>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</si>
  <si>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</si>
  <si>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</si>
  <si>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</si>
  <si>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</si>
  <si>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</si>
  <si>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</si>
  <si>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</si>
  <si>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</si>
  <si>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</si>
  <si>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</si>
  <si>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</si>
  <si>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</si>
  <si>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</si>
  <si>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</si>
  <si>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</si>
  <si>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</si>
  <si>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</si>
  <si>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</si>
  <si>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</si>
  <si>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</si>
  <si>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</si>
  <si>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</si>
  <si>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</si>
  <si>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</si>
  <si>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</si>
  <si>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</si>
  <si>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</si>
  <si>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</si>
  <si>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</si>
  <si>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</si>
  <si>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</si>
  <si>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</si>
  <si>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</si>
  <si>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</si>
  <si>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</si>
  <si>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</si>
  <si>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</si>
  <si>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</si>
  <si>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</si>
  <si>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</si>
  <si>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</si>
  <si>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</si>
  <si>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</si>
  <si>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</si>
  <si>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</si>
  <si>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</si>
  <si>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</si>
  <si>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</si>
  <si>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</si>
  <si>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</si>
  <si>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</si>
  <si>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</si>
  <si>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</si>
  <si>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</si>
  <si>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</si>
  <si>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</si>
  <si>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</si>
  <si>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</si>
  <si>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</si>
  <si>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</si>
  <si>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</si>
  <si>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</si>
  <si>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</si>
  <si>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</si>
  <si>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</si>
  <si>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</si>
  <si>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</si>
  <si>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</si>
  <si>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</si>
  <si>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</si>
  <si>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</si>
  <si>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</si>
  <si>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</si>
  <si>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</si>
  <si>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</si>
  <si>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</si>
  <si>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</si>
  <si>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</si>
  <si>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</si>
  <si>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</si>
  <si>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</si>
  <si>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</si>
  <si>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</si>
  <si>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</si>
  <si>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</si>
  <si>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</si>
  <si>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</si>
  <si>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</si>
  <si>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</si>
  <si>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</si>
  <si>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</si>
  <si>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</si>
  <si>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</si>
  <si>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</si>
  <si>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</si>
  <si>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</si>
  <si>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</si>
  <si>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</si>
  <si>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</si>
  <si>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</si>
  <si>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</si>
  <si>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</si>
  <si>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</si>
  <si>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</si>
  <si>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</si>
  <si>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</si>
  <si>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</si>
  <si>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</si>
  <si>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</si>
  <si>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</si>
  <si>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</si>
  <si>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</si>
  <si>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</si>
  <si>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</si>
  <si>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</si>
  <si>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</si>
  <si>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</si>
  <si>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</si>
  <si>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</si>
  <si>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</si>
  <si>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</si>
  <si>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</si>
  <si>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</si>
  <si>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</si>
  <si>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</si>
  <si>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</si>
  <si>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</si>
  <si>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</si>
  <si>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</si>
  <si>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</si>
  <si>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</si>
  <si>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</si>
  <si>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</si>
  <si>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</si>
  <si>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</si>
  <si>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</si>
  <si>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</si>
  <si>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</si>
  <si>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</si>
  <si>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</si>
  <si>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</si>
  <si>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</si>
  <si>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</si>
  <si>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</si>
  <si>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</si>
  <si>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</si>
  <si>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</si>
  <si>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</si>
  <si>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</si>
  <si>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</si>
  <si>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</si>
  <si>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</si>
  <si>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</si>
  <si>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</si>
  <si>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</si>
  <si>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</si>
  <si>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</si>
  <si>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</si>
  <si>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</si>
  <si>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</si>
  <si>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</si>
  <si>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</si>
  <si>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</si>
  <si>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</si>
  <si>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</si>
  <si>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</si>
  <si>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</si>
  <si>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</si>
  <si>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</si>
  <si>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</si>
  <si>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</si>
  <si>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</si>
  <si>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</si>
  <si>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</si>
  <si>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</si>
  <si>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</si>
  <si>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</si>
  <si>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</si>
  <si>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</si>
  <si>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</si>
  <si>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</si>
  <si>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</si>
  <si>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</si>
  <si>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</si>
  <si>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</si>
  <si>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</si>
  <si>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</si>
  <si>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</si>
  <si>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</si>
  <si>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</si>
  <si>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</si>
  <si>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</si>
  <si>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</si>
  <si>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</si>
  <si>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</si>
  <si>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</si>
  <si>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</si>
  <si>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</si>
  <si>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</si>
  <si>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</si>
  <si>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</si>
  <si>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</si>
  <si>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</si>
  <si>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</si>
  <si>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</si>
  <si>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</si>
  <si>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</si>
  <si>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</si>
  <si>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</si>
  <si>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</si>
  <si>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</si>
  <si>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</si>
  <si>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</si>
  <si>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</si>
  <si>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</si>
  <si>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</si>
  <si>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</si>
  <si>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</si>
  <si>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</si>
  <si>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</si>
  <si>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</si>
  <si>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</si>
  <si>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</si>
  <si>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</si>
  <si>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</si>
  <si>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</si>
  <si>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</si>
  <si>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</si>
  <si>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</si>
  <si>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</si>
  <si>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</si>
  <si>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</si>
  <si>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</si>
  <si>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</si>
  <si>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</si>
  <si>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</si>
  <si>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</si>
  <si>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</si>
  <si>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</si>
  <si>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</si>
  <si>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</si>
  <si>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</si>
  <si>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</si>
  <si>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</si>
  <si>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</si>
  <si>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</si>
  <si>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</si>
  <si>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</si>
  <si>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</si>
  <si>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</si>
  <si>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</si>
  <si>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</si>
  <si>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</si>
  <si>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</si>
  <si>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</si>
  <si>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</si>
  <si>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</si>
  <si>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</si>
  <si>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</si>
  <si>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</si>
  <si>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</si>
  <si>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</si>
  <si>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</si>
  <si>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</si>
  <si>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</si>
  <si>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</si>
  <si>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</si>
  <si>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</si>
  <si>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</si>
  <si>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</si>
  <si>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</si>
  <si>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</si>
  <si>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</si>
  <si>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</si>
  <si>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</si>
  <si>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</si>
  <si>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</si>
  <si>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</si>
  <si>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</si>
  <si>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</si>
  <si>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</si>
  <si>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</si>
  <si>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</si>
  <si>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</si>
  <si>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</si>
  <si>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</si>
  <si>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</si>
  <si>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</si>
  <si>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</si>
  <si>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</si>
  <si>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</si>
  <si>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</si>
  <si>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</si>
  <si>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</si>
  <si>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</si>
  <si>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</si>
  <si>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</si>
  <si>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</si>
  <si>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</si>
  <si>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</si>
  <si>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</si>
  <si>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</si>
  <si>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</si>
  <si>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</si>
  <si>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</si>
  <si>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</si>
  <si>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</si>
  <si>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</si>
  <si>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</si>
  <si>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</si>
  <si>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</si>
  <si>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</si>
  <si>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</si>
  <si>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</si>
  <si>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</si>
  <si>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</si>
  <si>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</si>
  <si>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</si>
  <si>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</si>
  <si>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</si>
  <si>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</si>
  <si>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</si>
  <si>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</si>
  <si>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</si>
  <si>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</si>
  <si>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</si>
  <si>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</si>
  <si>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</si>
  <si>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</si>
  <si>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</si>
  <si>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</si>
  <si>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</si>
  <si>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</si>
  <si>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</si>
  <si>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</si>
  <si>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</si>
  <si>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</si>
  <si>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</si>
  <si>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</si>
  <si>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</si>
  <si>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</si>
  <si>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</si>
  <si>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</si>
  <si>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</si>
  <si>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</si>
  <si>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</si>
  <si>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</si>
  <si>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</si>
  <si>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</si>
  <si>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</si>
  <si>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</si>
  <si>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</si>
  <si>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</si>
  <si>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</si>
  <si>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</si>
  <si>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</si>
  <si>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</si>
  <si>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</si>
  <si>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</si>
  <si>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</si>
  <si>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</si>
  <si>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</si>
  <si>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</si>
  <si>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</si>
  <si>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</si>
  <si>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</si>
  <si>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</si>
  <si>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</si>
  <si>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</si>
  <si>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</si>
  <si>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</si>
  <si>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</si>
  <si>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</si>
  <si>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</si>
  <si>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</si>
  <si>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</si>
  <si>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</si>
  <si>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</si>
  <si>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</si>
  <si>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</si>
  <si>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</si>
  <si>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</si>
  <si>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</si>
  <si>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</si>
  <si>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</si>
  <si>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</si>
  <si>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</si>
  <si>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</si>
  <si>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</si>
  <si>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</si>
  <si>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</si>
  <si>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</si>
  <si>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</si>
  <si>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</si>
  <si>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</si>
  <si>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</si>
  <si>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</si>
  <si>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</si>
  <si>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</si>
  <si>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</si>
  <si>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</si>
  <si>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</si>
  <si>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</si>
  <si>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</si>
  <si>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</si>
  <si>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</si>
  <si>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</si>
  <si>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</si>
  <si>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</si>
  <si>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</si>
  <si>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</si>
  <si>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</si>
  <si>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</si>
  <si>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</si>
  <si>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</si>
  <si>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</si>
  <si>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</si>
  <si>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</si>
  <si>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</si>
  <si>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</si>
  <si>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</si>
  <si>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</si>
  <si>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</si>
  <si>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</si>
  <si>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</si>
  <si>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</si>
  <si>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</si>
  <si>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</si>
  <si>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</si>
  <si>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</si>
  <si>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</si>
  <si>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</si>
  <si>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</si>
  <si>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</si>
  <si>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</si>
  <si>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</si>
  <si>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</si>
  <si>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</si>
  <si>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</si>
  <si>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</si>
  <si>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</si>
  <si>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</si>
  <si>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</si>
  <si>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</si>
  <si>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</si>
  <si>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</si>
  <si>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</si>
  <si>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</si>
  <si>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</si>
  <si>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</si>
  <si>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</si>
  <si>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</si>
  <si>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</si>
  <si>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</si>
  <si>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</si>
  <si>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</si>
  <si>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</si>
  <si>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</si>
  <si>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</si>
  <si>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</si>
  <si>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</si>
  <si>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</si>
  <si>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</si>
  <si>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</si>
  <si>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</si>
  <si>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</si>
  <si>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</si>
  <si>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</si>
  <si>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</si>
  <si>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</si>
  <si>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</si>
  <si>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</si>
  <si>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</si>
  <si>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</si>
  <si>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</si>
  <si>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</si>
  <si>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</si>
  <si>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</si>
  <si>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</si>
  <si>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</si>
  <si>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</si>
  <si>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</si>
  <si>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</si>
  <si>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</si>
  <si>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</si>
  <si>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</si>
  <si>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</si>
  <si>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</si>
  <si>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</si>
  <si>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</si>
  <si>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</si>
  <si>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</si>
  <si>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</si>
  <si>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</si>
  <si>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</si>
  <si>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</si>
  <si>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</si>
  <si>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</si>
  <si>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</si>
  <si>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</si>
  <si>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</si>
  <si>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</si>
  <si>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</si>
  <si>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</si>
  <si>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</si>
  <si>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</si>
  <si>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</si>
  <si>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</si>
  <si>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</si>
  <si>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</si>
  <si>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</si>
  <si>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</si>
  <si>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</si>
  <si>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</si>
  <si>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</si>
  <si>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</si>
  <si>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</si>
  <si>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</si>
  <si>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</si>
  <si>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</si>
  <si>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</si>
  <si>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</si>
  <si>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</si>
  <si>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</si>
  <si>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</si>
  <si>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</si>
  <si>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</si>
  <si>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</si>
  <si>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</si>
  <si>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</si>
  <si>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</si>
  <si>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</si>
  <si>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</si>
  <si>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</si>
  <si>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</si>
  <si>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</si>
  <si>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</si>
  <si>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</si>
  <si>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</si>
  <si>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</si>
  <si>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</si>
  <si>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</si>
  <si>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</si>
  <si>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</si>
  <si>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</si>
  <si>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</si>
  <si>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</si>
  <si>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</si>
  <si>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</si>
  <si>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</si>
  <si>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</si>
  <si>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</si>
  <si>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</si>
  <si>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</si>
  <si>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</si>
  <si>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</si>
  <si>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</si>
  <si>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</si>
  <si>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</si>
  <si>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</si>
  <si>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</si>
  <si>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</si>
  <si>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</si>
  <si>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</si>
  <si>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</si>
  <si>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</si>
  <si>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</si>
  <si>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</si>
  <si>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</si>
  <si>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</si>
  <si>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</si>
  <si>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</si>
  <si>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</si>
  <si>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</si>
  <si>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</si>
  <si>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</si>
  <si>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</si>
  <si>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</si>
  <si>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</si>
  <si>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</si>
  <si>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</si>
  <si>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</si>
  <si>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</si>
  <si>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</si>
  <si>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</si>
  <si>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</si>
  <si>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</si>
  <si>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</si>
  <si>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</si>
  <si>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</si>
  <si>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</si>
  <si>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</si>
  <si>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</si>
  <si>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</si>
  <si>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</si>
  <si>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</si>
  <si>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</si>
  <si>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</si>
  <si>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</si>
  <si>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</si>
  <si>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</si>
  <si>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</si>
  <si>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</si>
  <si>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</si>
  <si>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</si>
  <si>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</si>
  <si>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</si>
  <si>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</si>
  <si>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</si>
  <si>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</si>
  <si>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</si>
  <si>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</si>
  <si>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</si>
  <si>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</si>
  <si>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</si>
  <si>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</si>
  <si>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</si>
  <si>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</si>
  <si>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</si>
  <si>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</si>
  <si>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</si>
  <si>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</si>
  <si>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</si>
  <si>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</si>
  <si>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</si>
  <si>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</si>
  <si>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</si>
  <si>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</si>
  <si>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</si>
  <si>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</si>
  <si>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</si>
  <si>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</si>
  <si>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</si>
  <si>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</si>
  <si>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</si>
  <si>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</si>
  <si>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</si>
  <si>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</si>
  <si>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</si>
  <si>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</si>
  <si>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</si>
  <si>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</si>
  <si>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</si>
  <si>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</si>
  <si>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</si>
  <si>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</si>
  <si>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</si>
  <si>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</si>
  <si>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</si>
  <si>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</si>
  <si>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</si>
  <si>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</si>
  <si>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</si>
  <si>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</si>
  <si>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</si>
  <si>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</si>
  <si>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</si>
  <si>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</si>
  <si>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</si>
  <si>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</si>
  <si>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</si>
  <si>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</si>
  <si>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</si>
  <si>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</si>
  <si>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</si>
  <si>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</si>
  <si>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</si>
  <si>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</si>
  <si>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</si>
  <si>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</si>
  <si>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</si>
  <si>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</si>
  <si>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</si>
  <si>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</si>
  <si>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</si>
  <si>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</si>
  <si>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</si>
  <si>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</si>
  <si>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</si>
  <si>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</si>
  <si>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</si>
  <si>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</si>
  <si>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</si>
  <si>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</si>
  <si>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</si>
  <si>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</si>
  <si>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</si>
  <si>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</si>
  <si>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</si>
  <si>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</si>
  <si>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</si>
  <si>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</si>
  <si>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</si>
  <si>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</si>
  <si>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</si>
  <si>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</si>
  <si>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</si>
  <si>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</si>
  <si>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</si>
  <si>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</si>
  <si>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</si>
  <si>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</si>
  <si>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</si>
  <si>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</si>
  <si>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</si>
  <si>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</si>
  <si>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</si>
  <si>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</si>
  <si>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</si>
  <si>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</si>
  <si>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</si>
  <si>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</si>
  <si>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</si>
  <si>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</si>
  <si>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</si>
  <si>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</si>
  <si>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</si>
  <si>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</si>
  <si>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</si>
  <si>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</si>
  <si>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</si>
  <si>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</si>
  <si>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</si>
  <si>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</si>
  <si>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</si>
  <si>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</si>
  <si>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</si>
  <si>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</si>
  <si>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</si>
  <si>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</si>
  <si>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</si>
  <si>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</si>
  <si>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</si>
  <si>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</si>
  <si>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</si>
  <si>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</si>
  <si>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</si>
  <si>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</si>
  <si>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</si>
  <si>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</si>
  <si>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</si>
  <si>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</si>
  <si>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</si>
  <si>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</si>
  <si>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</si>
  <si>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</si>
  <si>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</si>
  <si>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</si>
  <si>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</si>
  <si>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</si>
  <si>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</si>
  <si>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</si>
  <si>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</si>
  <si>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</si>
  <si>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</si>
  <si>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</si>
  <si>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</si>
  <si>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</si>
  <si>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</si>
  <si>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</si>
  <si>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</si>
  <si>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</si>
  <si>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</si>
  <si>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</si>
  <si>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</si>
  <si>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</si>
  <si>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</si>
  <si>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</si>
  <si>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</si>
  <si>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</si>
  <si>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</si>
  <si>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</si>
  <si>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</si>
  <si>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</si>
  <si>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</si>
  <si>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</si>
  <si>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</si>
  <si>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</si>
  <si>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</si>
  <si>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</si>
  <si>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</si>
  <si>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</si>
  <si>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</si>
  <si>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</si>
  <si>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</si>
  <si>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</si>
  <si>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</si>
  <si>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</si>
  <si>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</si>
  <si>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</si>
  <si>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</si>
  <si>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</si>
  <si>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</si>
  <si>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</si>
  <si>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</si>
  <si>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</si>
  <si>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</si>
  <si>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</si>
  <si>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</si>
  <si>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</si>
  <si>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</si>
  <si>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</si>
  <si>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</si>
  <si>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</si>
  <si>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</si>
  <si>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</si>
  <si>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</si>
  <si>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</si>
  <si>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</si>
  <si>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</si>
  <si>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</si>
  <si>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</si>
  <si>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</si>
  <si>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</si>
  <si>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</si>
  <si>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</si>
  <si>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</si>
  <si>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</si>
  <si>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</si>
  <si>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</si>
  <si>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</si>
  <si>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</si>
  <si>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</si>
  <si>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</si>
  <si>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</si>
  <si>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</si>
  <si>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</si>
  <si>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</si>
  <si>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</si>
  <si>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</si>
  <si>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</si>
  <si>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</si>
  <si>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</si>
  <si>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</si>
  <si>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</si>
  <si>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</si>
  <si>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</si>
  <si>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</si>
  <si>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</si>
  <si>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</si>
  <si>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</si>
  <si>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</si>
  <si>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</si>
  <si>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</si>
  <si>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</si>
  <si>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</si>
  <si>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</si>
  <si>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</si>
  <si>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</si>
  <si>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</si>
  <si>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</si>
  <si>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</si>
  <si>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</si>
  <si>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</si>
  <si>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</si>
  <si>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</si>
  <si>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</si>
  <si>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</si>
  <si>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</si>
  <si>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</si>
  <si>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</si>
  <si>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</si>
  <si>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</si>
  <si>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</si>
  <si>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</si>
  <si>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</si>
  <si>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</si>
  <si>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</si>
  <si>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</si>
  <si>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</si>
  <si>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</si>
  <si>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</si>
  <si>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</si>
  <si>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</si>
  <si>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</si>
  <si>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</si>
  <si>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</si>
  <si>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</si>
  <si>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</si>
  <si>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</si>
  <si>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</si>
  <si>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</si>
  <si>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</si>
  <si>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</si>
  <si>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</si>
  <si>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</si>
  <si>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</si>
  <si>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</si>
  <si>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</si>
  <si>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</si>
  <si>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</si>
  <si>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</si>
  <si>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</si>
  <si>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</si>
  <si>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</si>
  <si>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</si>
  <si>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</si>
  <si>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</si>
  <si>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</si>
  <si>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</si>
  <si>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</si>
  <si>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</si>
  <si>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</si>
  <si>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</si>
  <si>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</si>
  <si>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</si>
  <si>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</si>
  <si>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</si>
  <si>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</si>
  <si>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</si>
  <si>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</si>
  <si>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</si>
  <si>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</si>
  <si>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</si>
  <si>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</si>
  <si>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</si>
  <si>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</si>
  <si>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</si>
  <si>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</si>
  <si>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</si>
  <si>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</si>
  <si>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</si>
  <si>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</si>
  <si>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</si>
  <si>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</si>
  <si>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</si>
  <si>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</si>
  <si>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</si>
  <si>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</si>
  <si>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</si>
  <si>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</si>
  <si>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</si>
  <si>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</si>
  <si>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</si>
  <si>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</si>
  <si>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</si>
  <si>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</si>
  <si>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</si>
  <si>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</si>
  <si>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</si>
  <si>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</si>
  <si>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</si>
  <si>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</si>
  <si>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</si>
  <si>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</si>
  <si>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</si>
  <si>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</si>
  <si>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</si>
  <si>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</si>
  <si>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</si>
  <si>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</si>
  <si>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</si>
  <si>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</si>
  <si>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</si>
  <si>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</si>
  <si>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</si>
  <si>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</si>
  <si>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</si>
  <si>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</si>
  <si>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</si>
  <si>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</si>
  <si>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</si>
  <si>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</si>
  <si>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</si>
  <si>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</si>
  <si>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</si>
  <si>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</si>
  <si>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</si>
  <si>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</si>
  <si>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</si>
  <si>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</si>
  <si>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</si>
  <si>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</si>
  <si>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</si>
  <si>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</si>
  <si>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</si>
  <si>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</si>
  <si>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</si>
  <si>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</si>
  <si>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</si>
  <si>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</si>
  <si>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</si>
  <si>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</si>
  <si>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</si>
  <si>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</si>
  <si>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</si>
  <si>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</si>
  <si>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</si>
  <si>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</si>
  <si>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</si>
  <si>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</si>
  <si>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</si>
  <si>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</si>
  <si>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</si>
  <si>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</si>
  <si>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</si>
  <si>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</si>
  <si>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</si>
  <si>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</si>
  <si>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</si>
  <si>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</si>
  <si>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</si>
  <si>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</si>
  <si>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</si>
  <si>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</si>
  <si>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</si>
  <si>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</si>
  <si>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</si>
  <si>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</si>
  <si>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</si>
  <si>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</si>
  <si>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</si>
  <si>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</si>
  <si>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</si>
  <si>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</si>
  <si>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</si>
  <si>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</si>
  <si>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</si>
  <si>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</si>
  <si>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</si>
  <si>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</si>
  <si>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</si>
  <si>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</si>
  <si>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</si>
  <si>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</si>
  <si>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</si>
  <si>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</si>
  <si>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</si>
  <si>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</si>
  <si>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</si>
  <si>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</si>
  <si>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</si>
  <si>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</si>
  <si>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</si>
  <si>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</si>
  <si>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</si>
  <si>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</si>
  <si>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</si>
  <si>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</si>
  <si>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</si>
  <si>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</si>
  <si>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</si>
  <si>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</si>
  <si>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</si>
  <si>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</si>
  <si>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</si>
  <si>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</si>
  <si>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</si>
  <si>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</si>
  <si>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</si>
  <si>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</si>
  <si>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</si>
  <si>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</si>
  <si>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</si>
  <si>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</si>
  <si>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</si>
  <si>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</si>
  <si>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</si>
  <si>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</si>
  <si>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</si>
  <si>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</si>
  <si>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</si>
  <si>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</si>
  <si>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</si>
  <si>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</si>
  <si>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</si>
  <si>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</si>
  <si>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</si>
  <si>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</si>
  <si>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</si>
  <si>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</si>
  <si>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</si>
  <si>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</si>
  <si>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</si>
  <si>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</si>
  <si>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</si>
  <si>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</si>
  <si>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</si>
  <si>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</si>
  <si>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</si>
  <si>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</si>
  <si>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</si>
  <si>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</si>
  <si>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</si>
  <si>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</si>
  <si>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</si>
  <si>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</si>
  <si>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</si>
  <si>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</si>
  <si>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</si>
  <si>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</si>
  <si>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</si>
  <si>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</si>
  <si>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</si>
  <si>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</si>
  <si>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</si>
  <si>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</si>
  <si>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</si>
  <si>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</si>
  <si>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</si>
  <si>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</si>
  <si>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</si>
  <si>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</si>
  <si>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</si>
  <si>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</si>
  <si>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</si>
  <si>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</si>
  <si>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</si>
  <si>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</si>
  <si>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</si>
  <si>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</si>
  <si>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</si>
  <si>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</si>
  <si>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</si>
  <si>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</si>
  <si>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</si>
  <si>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</si>
  <si>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</si>
  <si>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</si>
  <si>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</si>
  <si>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</si>
  <si>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</si>
  <si>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</si>
  <si>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</si>
  <si>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</si>
  <si>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</si>
  <si>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</si>
  <si>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</si>
  <si>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</si>
  <si>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</si>
  <si>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</si>
  <si>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</si>
  <si>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</si>
  <si>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</si>
  <si>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</si>
  <si>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</si>
  <si>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</si>
  <si>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</si>
  <si>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</si>
  <si>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</si>
  <si>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</si>
  <si>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</si>
  <si>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</si>
  <si>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</si>
  <si>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</si>
  <si>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</si>
  <si>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</si>
  <si>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</si>
  <si>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</si>
  <si>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</si>
  <si>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</si>
  <si>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</si>
  <si>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</si>
  <si>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</si>
  <si>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</si>
  <si>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</si>
  <si>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</si>
  <si>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</si>
  <si>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</si>
  <si>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</si>
  <si>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</si>
  <si>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</si>
  <si>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</si>
  <si>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</si>
  <si>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</si>
  <si>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</si>
  <si>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</si>
  <si>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</si>
  <si>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</si>
  <si>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</si>
  <si>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</si>
  <si>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</si>
  <si>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</si>
  <si>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</si>
  <si>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</si>
  <si>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</si>
  <si>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</si>
  <si>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</si>
  <si>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</si>
  <si>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</si>
  <si>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</si>
  <si>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</si>
  <si>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</si>
  <si>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</si>
  <si>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</si>
  <si>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</si>
  <si>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</si>
  <si>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</si>
  <si>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</si>
  <si>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</si>
  <si>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</si>
  <si>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</si>
  <si>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</si>
  <si>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</si>
  <si>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</si>
  <si>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</si>
  <si>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</si>
  <si>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</si>
  <si>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</si>
  <si>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</si>
  <si>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</si>
  <si>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</si>
  <si>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</si>
  <si>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</si>
  <si>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</si>
  <si>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</si>
  <si>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</si>
  <si>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</si>
  <si>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</si>
  <si>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</si>
  <si>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</si>
  <si>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</si>
  <si>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</si>
  <si>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</si>
  <si>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</si>
  <si>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</si>
  <si>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</si>
  <si>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</si>
  <si>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</si>
  <si>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</si>
  <si>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</si>
  <si>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</si>
  <si>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</si>
  <si>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</si>
  <si>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</si>
  <si>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</si>
  <si>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</si>
  <si>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</si>
  <si>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</si>
  <si>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</si>
  <si>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</si>
  <si>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</si>
  <si>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</si>
  <si>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</si>
  <si>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</si>
  <si>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</si>
  <si>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</si>
  <si>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</si>
  <si>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</si>
  <si>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</si>
  <si>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</si>
  <si>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</si>
  <si>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</si>
  <si>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</si>
  <si>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</si>
  <si>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</si>
  <si>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</si>
  <si>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</si>
  <si>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</si>
  <si>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</si>
  <si>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</si>
  <si>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</si>
  <si>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</si>
  <si>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</si>
  <si>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</si>
  <si>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</si>
  <si>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</si>
  <si>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</si>
  <si>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</si>
  <si>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</si>
  <si>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</si>
  <si>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</si>
  <si>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</si>
  <si>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</si>
  <si>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</si>
  <si>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</si>
  <si>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</si>
  <si>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</si>
  <si>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</si>
  <si>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</si>
  <si>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</si>
  <si>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</si>
  <si>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</si>
  <si>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</si>
  <si>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</si>
  <si>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</si>
  <si>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</si>
  <si>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</si>
  <si>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</si>
  <si>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</si>
  <si>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</si>
  <si>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</si>
  <si>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</si>
  <si>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</si>
  <si>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</si>
  <si>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</si>
  <si>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</si>
  <si>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</si>
  <si>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</si>
  <si>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</si>
  <si>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</si>
  <si>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</si>
  <si>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</si>
  <si>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</si>
  <si>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</si>
  <si>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</si>
  <si>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</si>
  <si>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</si>
  <si>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</si>
  <si>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</si>
  <si>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</si>
  <si>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</si>
  <si>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</si>
  <si>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</si>
  <si>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</si>
  <si>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</si>
  <si>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</si>
  <si>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</si>
  <si>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</si>
  <si>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</si>
  <si>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</si>
  <si>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</si>
  <si>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</si>
  <si>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</si>
  <si>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</si>
  <si>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</si>
  <si>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</si>
  <si>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</si>
  <si>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</si>
  <si>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</si>
  <si>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</si>
  <si>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</si>
  <si>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</si>
  <si>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</si>
  <si>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</si>
  <si>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</si>
  <si>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</si>
  <si>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</si>
  <si>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</si>
  <si>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</si>
  <si>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</si>
  <si>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</si>
  <si>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</si>
  <si>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</si>
  <si>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</si>
  <si>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</si>
  <si>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</si>
  <si>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</si>
  <si>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</si>
  <si>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</si>
  <si>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</si>
  <si>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</si>
  <si>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</si>
  <si>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</si>
  <si>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</si>
  <si>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</si>
  <si>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</si>
  <si>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</si>
  <si>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</si>
  <si>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</si>
  <si>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</si>
  <si>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</si>
  <si>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</si>
  <si>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</si>
  <si>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</si>
  <si>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</si>
  <si>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</si>
  <si>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</si>
  <si>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</si>
  <si>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</si>
  <si>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</si>
  <si>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</si>
  <si>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</si>
  <si>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</si>
  <si>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</si>
  <si>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</si>
  <si>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</si>
  <si>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</si>
  <si>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</si>
  <si>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</si>
  <si>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</si>
  <si>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</si>
  <si>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</si>
  <si>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</si>
  <si>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</si>
  <si>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</si>
  <si>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</si>
  <si>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</si>
  <si>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</si>
  <si>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</si>
  <si>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</si>
  <si>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</si>
  <si>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</si>
  <si>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</si>
  <si>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</si>
  <si>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</si>
  <si>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</si>
  <si>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</si>
  <si>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</si>
  <si>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</si>
  <si>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</si>
  <si>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</si>
  <si>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</si>
  <si>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</si>
  <si>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</si>
  <si>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</si>
  <si>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</si>
  <si>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</si>
  <si>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</si>
  <si>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</si>
  <si>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</si>
  <si>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</si>
  <si>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</si>
  <si>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</si>
  <si>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</si>
  <si>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</si>
  <si>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</si>
  <si>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</si>
  <si>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</si>
  <si>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</si>
  <si>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</si>
  <si>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</si>
  <si>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</si>
  <si>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</si>
  <si>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</si>
  <si>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</si>
  <si>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</si>
  <si>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</si>
  <si>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</si>
  <si>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</si>
  <si>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</si>
  <si>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</si>
  <si>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</si>
  <si>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</si>
  <si>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</si>
  <si>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</si>
  <si>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</si>
  <si>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</si>
  <si>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</si>
  <si>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</si>
  <si>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</si>
  <si>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</si>
  <si>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</si>
  <si>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</si>
  <si>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</si>
  <si>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</si>
  <si>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</si>
  <si>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</si>
  <si>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</si>
  <si>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</si>
  <si>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</si>
  <si>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</si>
  <si>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</si>
  <si>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</si>
  <si>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</si>
  <si>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</si>
  <si>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</si>
  <si>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</si>
  <si>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</si>
  <si>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</si>
  <si>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</si>
  <si>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</si>
  <si>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</si>
  <si>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</si>
  <si>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</si>
  <si>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</si>
  <si>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</si>
  <si>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</si>
  <si>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</si>
  <si>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</si>
  <si>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</si>
  <si>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</si>
  <si>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</si>
  <si>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</si>
  <si>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</si>
  <si>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</si>
  <si>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</si>
  <si>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</si>
  <si>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</si>
  <si>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</si>
  <si>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</si>
  <si>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</si>
  <si>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</si>
  <si>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</si>
  <si>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</si>
  <si>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</si>
  <si>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</si>
  <si>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</si>
  <si>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</si>
  <si>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</si>
  <si>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</si>
  <si>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</si>
  <si>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</si>
  <si>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</si>
  <si>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</si>
  <si>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</si>
  <si>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</si>
  <si>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</si>
  <si>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</si>
  <si>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</si>
  <si>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</si>
  <si>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</si>
  <si>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</si>
  <si>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</si>
  <si>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</si>
  <si>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</si>
  <si>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</si>
  <si>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</si>
  <si>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</si>
  <si>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</si>
  <si>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</si>
  <si>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</si>
  <si>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</si>
  <si>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</si>
  <si>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</si>
  <si>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</si>
  <si>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</si>
  <si>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</si>
  <si>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</si>
  <si>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</si>
  <si>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</si>
  <si>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</si>
  <si>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</si>
  <si>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</si>
  <si>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</si>
  <si>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</si>
  <si>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</si>
  <si>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</si>
  <si>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</si>
  <si>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</si>
  <si>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</si>
  <si>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</si>
  <si>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</si>
  <si>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</si>
  <si>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</si>
  <si>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</si>
  <si>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</si>
  <si>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</si>
  <si>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</si>
  <si>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</si>
  <si>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</si>
  <si>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</si>
  <si>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</si>
  <si>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</si>
  <si>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</si>
  <si>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</si>
  <si>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</si>
  <si>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</si>
  <si>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</si>
  <si>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</si>
  <si>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</si>
  <si>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</si>
  <si>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</si>
  <si>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</si>
  <si>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</si>
  <si>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</si>
  <si>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</si>
  <si>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</si>
  <si>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</si>
  <si>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</si>
  <si>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</si>
  <si>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</si>
  <si>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</si>
  <si>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</si>
  <si>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</si>
  <si>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</si>
  <si>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</si>
  <si>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</si>
  <si>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</si>
  <si>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</si>
  <si>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</si>
  <si>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</si>
  <si>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</si>
  <si>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</si>
  <si>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</si>
  <si>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</si>
  <si>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</si>
  <si>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</si>
  <si>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</si>
  <si>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</si>
  <si>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</si>
  <si>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</si>
  <si>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</si>
  <si>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</si>
  <si>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</si>
  <si>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</si>
  <si>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</si>
  <si>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</si>
  <si>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</si>
  <si>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</si>
  <si>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</si>
  <si>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</si>
  <si>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</si>
  <si>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</si>
  <si>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</si>
  <si>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</si>
  <si>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</si>
  <si>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</si>
  <si>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</si>
  <si>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</si>
  <si>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</si>
  <si>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</si>
  <si>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</si>
  <si>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</si>
  <si>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</si>
  <si>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</si>
  <si>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</si>
  <si>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</si>
  <si>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</si>
  <si>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</si>
  <si>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</si>
  <si>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</si>
  <si>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</si>
  <si>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</si>
  <si>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</si>
  <si>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</si>
  <si>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</si>
  <si>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</si>
  <si>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</si>
  <si>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</si>
  <si>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</si>
  <si>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</si>
  <si>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</si>
  <si>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</si>
  <si>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</si>
  <si>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</si>
  <si>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</si>
  <si>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</si>
  <si>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</si>
  <si>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</si>
  <si>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</si>
  <si>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</si>
  <si>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</si>
  <si>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</si>
  <si>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</si>
  <si>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</si>
  <si>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</si>
  <si>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</si>
  <si>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</si>
  <si>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</si>
  <si>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</si>
  <si>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</si>
  <si>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</si>
  <si>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</si>
  <si>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</si>
  <si>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</si>
  <si>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</si>
  <si>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</si>
  <si>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</si>
  <si>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</si>
  <si>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</si>
  <si>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</si>
  <si>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</si>
  <si>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</si>
  <si>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</si>
  <si>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</si>
  <si>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</si>
  <si>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</si>
  <si>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</si>
  <si>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</si>
  <si>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</si>
  <si>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</si>
  <si>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</si>
  <si>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</si>
  <si>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</si>
  <si>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</si>
  <si>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</si>
  <si>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</si>
  <si>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</si>
  <si>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</si>
  <si>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</si>
  <si>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</si>
  <si>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</si>
  <si>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</si>
  <si>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</si>
  <si>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</si>
  <si>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</si>
  <si>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</si>
  <si>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</si>
  <si>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</si>
  <si>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</si>
  <si>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</si>
  <si>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</si>
  <si>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</si>
  <si>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</si>
  <si>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</si>
  <si>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</si>
  <si>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</si>
  <si>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</si>
  <si>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</si>
  <si>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</si>
  <si>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</si>
  <si>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</si>
  <si>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</si>
  <si>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</si>
  <si>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</si>
  <si>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</si>
  <si>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</si>
  <si>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</si>
  <si>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</si>
  <si>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</si>
  <si>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</si>
  <si>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</si>
  <si>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</si>
  <si>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</si>
  <si>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</si>
  <si>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</si>
  <si>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</si>
  <si>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</si>
  <si>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</si>
  <si>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</si>
  <si>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</si>
  <si>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</si>
  <si>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</si>
  <si>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</si>
  <si>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</si>
  <si>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</si>
  <si>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</si>
  <si>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</si>
  <si>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</si>
  <si>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</si>
  <si>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</si>
  <si>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</si>
  <si>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</si>
  <si>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</si>
  <si>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</si>
  <si>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</si>
  <si>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</si>
  <si>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</si>
  <si>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</si>
  <si>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</si>
  <si>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</si>
  <si>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</si>
  <si>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</si>
  <si>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</si>
  <si>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</si>
  <si>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</si>
  <si>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</si>
  <si>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</si>
  <si>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</si>
  <si>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</si>
  <si>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</si>
  <si>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</si>
  <si>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</si>
  <si>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</si>
  <si>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</si>
  <si>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</si>
  <si>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</si>
  <si>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</si>
  <si>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</si>
  <si>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</si>
  <si>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</si>
  <si>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</si>
  <si>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</si>
  <si>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</si>
  <si>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</si>
  <si>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</si>
  <si>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</si>
  <si>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</si>
  <si>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</si>
  <si>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</si>
  <si>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</si>
  <si>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</si>
  <si>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</si>
  <si>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</si>
  <si>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</si>
  <si>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</si>
  <si>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</si>
  <si>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</si>
  <si>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</si>
  <si>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</si>
  <si>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</si>
  <si>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</si>
  <si>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</si>
  <si>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</si>
  <si>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</si>
  <si>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</si>
  <si>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</si>
  <si>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</si>
  <si>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</si>
  <si>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</si>
  <si>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</si>
  <si>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</si>
  <si>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</si>
  <si>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</si>
  <si>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</si>
  <si>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</si>
  <si>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</si>
  <si>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</si>
  <si>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</si>
  <si>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</si>
  <si>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</si>
  <si>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</si>
  <si>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</si>
  <si>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</si>
  <si>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</si>
  <si>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</si>
  <si>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</si>
  <si>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</si>
  <si>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</si>
  <si>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</si>
  <si>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</si>
  <si>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</si>
  <si>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</si>
  <si>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</si>
  <si>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</si>
  <si>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</si>
  <si>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</si>
  <si>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</si>
  <si>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</si>
  <si>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</si>
  <si>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</si>
  <si>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</si>
  <si>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</si>
  <si>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</si>
  <si>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</si>
  <si>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</si>
  <si>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</si>
  <si>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</si>
  <si>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</si>
  <si>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</si>
  <si>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</si>
  <si>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</si>
  <si>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</si>
  <si>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</si>
  <si>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</si>
  <si>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</si>
  <si>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</si>
  <si>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</si>
  <si>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</si>
  <si>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</si>
  <si>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</si>
  <si>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</si>
  <si>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</si>
  <si>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</si>
  <si>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</si>
  <si>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</si>
  <si>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</si>
  <si>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</si>
  <si>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</si>
  <si>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</si>
  <si>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</si>
  <si>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</si>
  <si>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</si>
  <si>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</si>
  <si>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</si>
  <si>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</si>
  <si>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</si>
  <si>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</si>
  <si>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</si>
  <si>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</si>
  <si>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</si>
  <si>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</si>
  <si>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</si>
  <si>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</si>
  <si>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</si>
  <si>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</si>
  <si>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</si>
  <si>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</si>
  <si>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</si>
  <si>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</si>
  <si>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</si>
  <si>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</si>
  <si>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</si>
  <si>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</si>
  <si>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</si>
  <si>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</si>
  <si>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</si>
  <si>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</si>
  <si>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</si>
  <si>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</si>
  <si>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</si>
  <si>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</si>
  <si>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</si>
  <si>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</si>
  <si>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</si>
  <si>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</si>
  <si>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</si>
  <si>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</si>
  <si>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</si>
  <si>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</si>
  <si>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</si>
  <si>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</si>
  <si>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</si>
  <si>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</si>
  <si>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</si>
  <si>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</si>
  <si>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</si>
  <si>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</si>
  <si>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</si>
  <si>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</si>
  <si>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</si>
  <si>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</si>
  <si>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</si>
  <si>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</si>
  <si>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</si>
  <si>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</si>
  <si>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</si>
  <si>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</si>
  <si>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</si>
  <si>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</si>
  <si>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</si>
  <si>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</si>
  <si>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</si>
  <si>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</si>
  <si>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</si>
  <si>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</si>
  <si>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</si>
  <si>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</si>
  <si>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</si>
  <si>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</si>
  <si>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</si>
  <si>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</si>
  <si>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</si>
  <si>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</si>
  <si>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</si>
  <si>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</si>
  <si>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</si>
  <si>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</si>
  <si>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</si>
  <si>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</si>
  <si>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</si>
  <si>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</si>
  <si>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</si>
  <si>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</si>
  <si>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</si>
  <si>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</si>
  <si>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</si>
  <si>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</si>
  <si>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</si>
  <si>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</si>
  <si>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</si>
  <si>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</si>
  <si>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</si>
  <si>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</si>
  <si>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</si>
  <si>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</si>
  <si>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</si>
  <si>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</si>
  <si>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</si>
  <si>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</si>
  <si>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</si>
  <si>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</si>
  <si>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</si>
  <si>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</si>
  <si>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</si>
  <si>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</si>
  <si>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</si>
  <si>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</si>
  <si>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</si>
  <si>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</si>
  <si>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</si>
  <si>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</si>
  <si>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</si>
  <si>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</si>
  <si>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</si>
  <si>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</si>
  <si>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</si>
  <si>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</si>
  <si>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</si>
  <si>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</si>
  <si>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</si>
  <si>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</si>
  <si>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</si>
  <si>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</si>
  <si>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</si>
  <si>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</si>
  <si>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</si>
  <si>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</si>
  <si>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</si>
  <si>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</si>
  <si>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</si>
  <si>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</si>
  <si>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</si>
  <si>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</si>
  <si>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</si>
  <si>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</si>
  <si>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</si>
  <si>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</si>
  <si>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</si>
  <si>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</si>
  <si>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</si>
  <si>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</si>
  <si>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</si>
  <si>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</si>
  <si>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</si>
  <si>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</si>
  <si>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</si>
  <si>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</si>
  <si>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</si>
  <si>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</si>
  <si>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</si>
  <si>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</si>
  <si>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</si>
  <si>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</si>
  <si>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</si>
  <si>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</si>
  <si>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</si>
  <si>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</si>
  <si>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</si>
  <si>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</si>
  <si>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</si>
  <si>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</si>
  <si>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</si>
  <si>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</si>
  <si>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</si>
  <si>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</si>
  <si>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</si>
  <si>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</si>
  <si>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</si>
  <si>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</si>
  <si>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</si>
  <si>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</si>
  <si>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</si>
  <si>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</si>
  <si>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</si>
  <si>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</si>
  <si>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</si>
  <si>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</si>
  <si>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</si>
  <si>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</si>
  <si>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</si>
  <si>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</si>
  <si>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</si>
  <si>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</si>
  <si>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</si>
  <si>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</si>
  <si>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</si>
  <si>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</si>
  <si>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</si>
  <si>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</si>
  <si>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</si>
  <si>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</si>
  <si>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</si>
  <si>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</si>
  <si>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</si>
  <si>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</si>
  <si>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</si>
  <si>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</si>
  <si>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</si>
  <si>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</si>
  <si>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</si>
  <si>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</si>
  <si>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</si>
  <si>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</si>
  <si>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</si>
  <si>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</si>
  <si>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</si>
  <si>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</si>
  <si>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</si>
  <si>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</si>
  <si>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</si>
  <si>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</si>
  <si>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</si>
  <si>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</si>
  <si>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</si>
  <si>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</si>
  <si>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</si>
  <si>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</si>
  <si>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</si>
  <si>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</si>
  <si>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</si>
  <si>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</si>
  <si>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</si>
  <si>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</si>
  <si>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</si>
  <si>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</si>
  <si>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</si>
  <si>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</si>
  <si>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</si>
  <si>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</si>
  <si>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</si>
  <si>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</si>
  <si>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</si>
  <si>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</si>
  <si>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</si>
  <si>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</si>
  <si>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</si>
  <si>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</si>
  <si>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</si>
  <si>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</si>
  <si>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</si>
  <si>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</si>
  <si>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</si>
  <si>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</si>
  <si>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</si>
  <si>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</si>
  <si>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</si>
  <si>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</si>
  <si>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</si>
  <si>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</si>
  <si>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</si>
  <si>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</si>
  <si>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</si>
  <si>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</si>
  <si>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</si>
  <si>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</si>
  <si>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</si>
  <si>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</si>
  <si>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</si>
  <si>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</si>
  <si>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</si>
  <si>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</si>
  <si>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</si>
  <si>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</si>
  <si>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</si>
  <si>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</si>
  <si>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</si>
  <si>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</si>
  <si>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</si>
  <si>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</si>
  <si>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</si>
  <si>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</si>
  <si>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</si>
  <si>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</si>
  <si>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</si>
  <si>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</si>
  <si>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</si>
  <si>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</si>
  <si>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</si>
  <si>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</si>
  <si>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</si>
  <si>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</si>
  <si>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</si>
  <si>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</si>
  <si>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</si>
  <si>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</si>
  <si>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</si>
  <si>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</si>
  <si>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</si>
  <si>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</si>
  <si>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</si>
  <si>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</si>
  <si>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</si>
  <si>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</si>
  <si>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</si>
  <si>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</si>
  <si>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</si>
  <si>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</si>
  <si>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</si>
  <si>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</si>
  <si>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</si>
  <si>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</si>
  <si>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</si>
  <si>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</si>
  <si>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</si>
  <si>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</si>
  <si>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</si>
  <si>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</si>
  <si>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</si>
  <si>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</si>
  <si>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</si>
  <si>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</si>
  <si>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</si>
  <si>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</si>
  <si>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</si>
  <si>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</si>
  <si>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</si>
  <si>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</si>
  <si>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</si>
  <si>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</si>
  <si>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</si>
  <si>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</si>
  <si>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</si>
  <si>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</si>
  <si>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</si>
  <si>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</si>
  <si>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</si>
  <si>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</si>
  <si>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</si>
  <si>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</si>
  <si>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</si>
  <si>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</si>
  <si>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</si>
  <si>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</si>
  <si>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</si>
  <si>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</si>
  <si>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</si>
  <si>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</si>
  <si>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</si>
  <si>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</si>
  <si>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</si>
  <si>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</si>
  <si>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</si>
  <si>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</si>
  <si>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</si>
  <si>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</si>
  <si>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</si>
  <si>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</si>
  <si>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</si>
  <si>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</si>
  <si>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</si>
  <si>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</si>
  <si>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</si>
  <si>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</si>
  <si>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</si>
  <si>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</si>
  <si>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</si>
  <si>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</si>
  <si>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</si>
  <si>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</si>
  <si>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</si>
  <si>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</si>
  <si>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</si>
  <si>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</si>
  <si>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</si>
  <si>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</si>
  <si>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</si>
  <si>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</si>
  <si>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</si>
  <si>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</si>
  <si>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</si>
  <si>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</si>
  <si>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</si>
  <si>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</si>
  <si>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</si>
  <si>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</si>
  <si>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</si>
  <si>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</si>
  <si>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</si>
  <si>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</si>
  <si>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</si>
  <si>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</si>
  <si>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</si>
  <si>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</si>
  <si>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</si>
  <si>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</si>
  <si>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</si>
  <si>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</si>
  <si>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</si>
  <si>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</si>
  <si>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</si>
  <si>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</si>
  <si>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</si>
  <si>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</si>
  <si>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</si>
  <si>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</si>
  <si>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</si>
  <si>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</si>
  <si>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</si>
  <si>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</si>
  <si>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</si>
  <si>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</si>
  <si>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</si>
  <si>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</si>
  <si>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</si>
  <si>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</si>
  <si>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</si>
  <si>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</si>
  <si>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</si>
  <si>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</si>
  <si>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</si>
  <si>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</si>
  <si>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</si>
  <si>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</si>
  <si>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</si>
  <si>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</si>
  <si>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</si>
  <si>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</si>
  <si>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</si>
  <si>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</si>
  <si>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</si>
  <si>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</si>
  <si>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</si>
  <si>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</si>
  <si>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</si>
  <si>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</si>
  <si>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</si>
  <si>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</si>
  <si>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</si>
  <si>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</si>
  <si>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</si>
  <si>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</si>
  <si>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</si>
  <si>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</si>
  <si>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</si>
  <si>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</si>
  <si>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</si>
  <si>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</si>
  <si>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</si>
  <si>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</si>
  <si>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</si>
  <si>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</si>
  <si>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</si>
  <si>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</si>
  <si>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</si>
  <si>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</si>
  <si>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</si>
  <si>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</si>
  <si>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</si>
  <si>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</si>
  <si>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</si>
  <si>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</si>
  <si>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</si>
  <si>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</si>
  <si>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</si>
  <si>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</si>
  <si>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</si>
  <si>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</si>
  <si>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</si>
  <si>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</si>
  <si>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</si>
  <si>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</si>
  <si>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</si>
  <si>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</si>
  <si>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</si>
  <si>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</si>
  <si>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</si>
  <si>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</si>
  <si>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</si>
  <si>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</si>
  <si>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</si>
  <si>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</si>
  <si>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</si>
  <si>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</si>
  <si>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</si>
  <si>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</si>
  <si>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</si>
  <si>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</si>
  <si>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</si>
  <si>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</si>
  <si>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</si>
  <si>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</si>
  <si>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</si>
  <si>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</si>
  <si>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</si>
  <si>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</si>
  <si>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</si>
  <si>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</si>
  <si>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</si>
  <si>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</si>
  <si>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</si>
  <si>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</si>
  <si>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</si>
  <si>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</si>
  <si>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</si>
  <si>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</si>
  <si>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</si>
  <si>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</si>
  <si>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</si>
  <si>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</si>
  <si>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</si>
  <si>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</si>
  <si>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</si>
  <si>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</si>
  <si>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</si>
  <si>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</si>
  <si>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</si>
  <si>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</si>
  <si>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</si>
  <si>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</si>
  <si>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</si>
  <si>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</si>
  <si>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</si>
  <si>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</si>
  <si>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</si>
  <si>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</si>
  <si>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</si>
  <si>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</si>
  <si>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</si>
  <si>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</si>
  <si>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</si>
  <si>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</si>
  <si>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</si>
  <si>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</si>
  <si>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</si>
  <si>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</si>
  <si>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</si>
  <si>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</si>
  <si>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</si>
  <si>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</si>
  <si>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</si>
  <si>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</si>
  <si>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</si>
  <si>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</si>
  <si>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</si>
  <si>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</si>
  <si>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</si>
  <si>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</si>
  <si>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</si>
  <si>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</si>
  <si>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</si>
  <si>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</si>
  <si>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</si>
  <si>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</si>
  <si>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</si>
  <si>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</si>
  <si>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</si>
  <si>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</si>
  <si>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</si>
  <si>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</si>
  <si>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</si>
  <si>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</si>
  <si>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</si>
  <si>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</si>
  <si>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</si>
  <si>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</si>
  <si>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</si>
  <si>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</si>
  <si>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</si>
  <si>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</si>
  <si>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</si>
  <si>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</si>
  <si>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</si>
  <si>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</si>
  <si>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</si>
  <si>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</si>
  <si>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</si>
  <si>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</si>
  <si>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</si>
  <si>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</si>
  <si>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</si>
  <si>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</si>
  <si>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</si>
  <si>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</si>
  <si>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</si>
  <si>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</si>
  <si>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</si>
  <si>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</si>
  <si>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</si>
  <si>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</si>
  <si>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</si>
  <si>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</si>
  <si>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</si>
  <si>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</si>
  <si>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</si>
  <si>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</si>
  <si>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</si>
  <si>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</si>
  <si>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</si>
  <si>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</si>
  <si>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</si>
  <si>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</si>
  <si>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</si>
  <si>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</si>
  <si>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</si>
  <si>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</si>
  <si>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</si>
  <si>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</si>
  <si>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</si>
  <si>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</si>
  <si>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</si>
  <si>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</si>
  <si>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</si>
  <si>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</si>
  <si>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</si>
  <si>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</si>
  <si>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</si>
  <si>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</si>
  <si>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</si>
  <si>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</si>
  <si>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</si>
  <si>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</si>
  <si>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</si>
  <si>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</si>
  <si>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</si>
  <si>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</si>
  <si>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</si>
  <si>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</si>
  <si>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</si>
  <si>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</si>
  <si>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</si>
  <si>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</si>
  <si>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</si>
  <si>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</si>
  <si>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</si>
  <si>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</si>
  <si>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</si>
  <si>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</si>
  <si>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</si>
  <si>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</si>
  <si>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</si>
  <si>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</si>
  <si>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</si>
  <si>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</si>
  <si>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</si>
  <si>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</si>
  <si>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</si>
  <si>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</si>
  <si>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</si>
  <si>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</si>
  <si>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</si>
  <si>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</si>
  <si>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</si>
  <si>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</si>
  <si>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</si>
  <si>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</si>
  <si>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</si>
  <si>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</si>
  <si>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</si>
  <si>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</si>
  <si>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</si>
  <si>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</si>
  <si>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</si>
  <si>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</si>
  <si>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</si>
  <si>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</si>
  <si>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</si>
  <si>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</si>
  <si>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</si>
  <si>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</si>
  <si>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</si>
  <si>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</si>
  <si>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</si>
  <si>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</si>
  <si>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</si>
  <si>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</si>
  <si>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</si>
  <si>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</si>
  <si>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</si>
  <si>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</si>
  <si>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</si>
  <si>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</si>
  <si>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</si>
  <si>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</si>
  <si>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</si>
  <si>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</si>
  <si>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</si>
  <si>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</si>
  <si>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</si>
  <si>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</si>
  <si>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</si>
  <si>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</si>
  <si>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</si>
  <si>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</si>
  <si>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</si>
  <si>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</si>
  <si>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</si>
  <si>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</si>
  <si>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</si>
  <si>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</si>
  <si>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</si>
  <si>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</si>
  <si>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</si>
  <si>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</si>
  <si>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</si>
  <si>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</si>
  <si>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</si>
  <si>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</si>
  <si>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</si>
  <si>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</si>
  <si>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</si>
  <si>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</si>
  <si>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</si>
  <si>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</si>
  <si>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</si>
  <si>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</si>
  <si>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</si>
  <si>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</si>
  <si>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</si>
  <si>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</si>
  <si>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</si>
  <si>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</si>
  <si>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</si>
  <si>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</si>
  <si>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</si>
  <si>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</si>
  <si>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</si>
  <si>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</si>
  <si>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</si>
  <si>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</si>
  <si>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</si>
  <si>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</si>
  <si>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</si>
  <si>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</si>
  <si>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</si>
  <si>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</si>
  <si>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</si>
  <si>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</si>
  <si>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</si>
  <si>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</si>
  <si>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</si>
  <si>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</si>
  <si>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</si>
  <si>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</si>
  <si>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</si>
  <si>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</si>
  <si>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</si>
  <si>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</si>
  <si>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</si>
  <si>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</si>
  <si>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</si>
  <si>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</si>
  <si>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</si>
  <si>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</si>
  <si>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</si>
  <si>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</si>
  <si>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</si>
  <si>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</si>
  <si>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</si>
  <si>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</si>
  <si>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</si>
  <si>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</si>
  <si>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</si>
  <si>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</si>
  <si>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</si>
  <si>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</si>
  <si>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</si>
  <si>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</si>
  <si>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</si>
  <si>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</si>
  <si>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</si>
  <si>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</si>
  <si>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</si>
  <si>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</si>
  <si>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</si>
  <si>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</si>
  <si>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</si>
  <si>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</si>
  <si>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</si>
  <si>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</si>
  <si>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</si>
  <si>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</si>
  <si>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</si>
  <si>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</si>
  <si>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</si>
  <si>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</si>
  <si>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</si>
  <si>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</si>
  <si>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</si>
  <si>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</si>
  <si>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</si>
  <si>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</si>
  <si>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</si>
  <si>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</si>
  <si>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</si>
  <si>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</si>
  <si>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</si>
  <si>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</si>
  <si>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</si>
  <si>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</si>
  <si>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</si>
  <si>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</si>
  <si>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</si>
  <si>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</si>
  <si>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</si>
  <si>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</si>
  <si>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</si>
  <si>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</si>
  <si>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</si>
  <si>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</si>
  <si>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</si>
  <si>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</si>
  <si>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</si>
  <si>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</si>
  <si>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</si>
  <si>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</si>
  <si>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</si>
  <si>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</si>
  <si>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</si>
  <si>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</si>
  <si>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</si>
  <si>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</si>
  <si>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</si>
  <si>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</si>
  <si>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</si>
  <si>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</si>
  <si>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</si>
  <si>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</si>
  <si>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</si>
  <si>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</si>
  <si>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</si>
  <si>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</si>
  <si>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</si>
  <si>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</si>
  <si>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</si>
  <si>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</si>
  <si>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</si>
  <si>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</si>
  <si>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</si>
  <si>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</si>
  <si>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</si>
  <si>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</si>
  <si>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</si>
  <si>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</si>
  <si>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</si>
  <si>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</si>
  <si>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</si>
  <si>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</si>
  <si>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</si>
  <si>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</si>
  <si>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</si>
  <si>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</si>
  <si>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</si>
  <si>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</si>
  <si>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</si>
  <si>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</si>
  <si>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</si>
  <si>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</si>
  <si>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</si>
  <si>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</si>
  <si>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</si>
  <si>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</si>
  <si>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</si>
  <si>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</si>
  <si>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</si>
  <si>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</si>
  <si>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</si>
  <si>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</si>
  <si>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</si>
  <si>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</si>
  <si>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</si>
  <si>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</si>
  <si>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</si>
  <si>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</si>
  <si>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</si>
  <si>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</si>
  <si>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</si>
  <si>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</si>
  <si>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</si>
  <si>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</si>
  <si>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</si>
  <si>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</si>
  <si>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</si>
  <si>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</si>
  <si>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</si>
  <si>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</si>
  <si>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</si>
  <si>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</si>
  <si>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</si>
  <si>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</si>
  <si>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</si>
  <si>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</si>
  <si>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</si>
  <si>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</si>
  <si>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</si>
  <si>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</si>
  <si>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</si>
  <si>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</si>
  <si>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</si>
  <si>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</si>
  <si>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</si>
  <si>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</si>
  <si>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</si>
  <si>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</si>
  <si>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</si>
  <si>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</si>
  <si>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</si>
  <si>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</si>
  <si>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</si>
  <si>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</si>
  <si>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</si>
  <si>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</si>
  <si>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</si>
  <si>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</si>
  <si>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</si>
  <si>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</si>
  <si>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</si>
  <si>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</si>
  <si>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</si>
  <si>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</si>
  <si>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</si>
  <si>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</si>
  <si>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</si>
  <si>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</si>
  <si>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</si>
  <si>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</si>
  <si>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</si>
  <si>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</si>
  <si>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</si>
  <si>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</si>
  <si>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</si>
  <si>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</si>
  <si>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</si>
  <si>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</si>
  <si>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</si>
  <si>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</si>
  <si>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</si>
  <si>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</si>
  <si>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</si>
  <si>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</si>
  <si>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</si>
  <si>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</si>
  <si>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</si>
  <si>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</si>
  <si>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</si>
  <si>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</si>
  <si>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</si>
  <si>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</si>
  <si>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</si>
  <si>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</si>
  <si>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</si>
  <si>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</si>
  <si>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</si>
  <si>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</si>
  <si>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</si>
  <si>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</si>
  <si>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</si>
  <si>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</si>
  <si>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</si>
  <si>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</si>
  <si>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</si>
  <si>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</si>
  <si>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</si>
  <si>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</si>
  <si>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</si>
  <si>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</si>
  <si>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</si>
  <si>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</si>
  <si>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</si>
  <si>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</si>
  <si>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</si>
  <si>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</si>
  <si>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</si>
  <si>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</si>
  <si>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</si>
  <si>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</si>
  <si>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</si>
  <si>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</si>
  <si>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</si>
  <si>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</si>
  <si>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</si>
  <si>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</si>
  <si>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</si>
  <si>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</si>
  <si>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</si>
  <si>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</si>
  <si>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</si>
  <si>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</si>
  <si>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</si>
  <si>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</si>
  <si>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</si>
  <si>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</si>
  <si>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</si>
  <si>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</si>
  <si>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</si>
  <si>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</si>
  <si>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</si>
  <si>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</si>
  <si>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</si>
  <si>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</si>
  <si>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</si>
  <si>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</si>
  <si>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</si>
  <si>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</si>
  <si>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</si>
  <si>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</si>
  <si>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</si>
  <si>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</si>
  <si>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</si>
  <si>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</si>
  <si>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</si>
  <si>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</si>
  <si>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</si>
  <si>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</si>
  <si>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</si>
  <si>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</si>
  <si>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</si>
  <si>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</si>
  <si>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</si>
  <si>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</si>
  <si>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</si>
  <si>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</si>
  <si>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</si>
  <si>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</si>
  <si>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</si>
  <si>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</si>
  <si>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</si>
  <si>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</si>
  <si>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</si>
  <si>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</si>
  <si>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</si>
  <si>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</si>
  <si>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</si>
  <si>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</si>
  <si>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</si>
  <si>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</si>
  <si>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</si>
  <si>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</si>
  <si>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</si>
  <si>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</si>
  <si>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</si>
  <si>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</si>
  <si>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</si>
  <si>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</si>
  <si>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</si>
  <si>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</si>
  <si>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</si>
  <si>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</si>
  <si>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</si>
  <si>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</si>
  <si>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</si>
  <si>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</si>
  <si>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</si>
  <si>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</si>
  <si>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</si>
  <si>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</si>
  <si>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</si>
  <si>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</si>
  <si>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</si>
  <si>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</si>
  <si>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</si>
  <si>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</si>
  <si>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</si>
  <si>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</si>
  <si>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</si>
  <si>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</si>
  <si>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</si>
  <si>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</si>
  <si>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</si>
  <si>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</si>
  <si>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</si>
  <si>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</si>
  <si>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</si>
  <si>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</si>
  <si>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</si>
  <si>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</si>
  <si>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</si>
  <si>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</si>
  <si>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</si>
  <si>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</si>
  <si>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</si>
  <si>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</si>
  <si>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</si>
  <si>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</si>
  <si>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</si>
  <si>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</si>
  <si>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</si>
  <si>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</si>
  <si>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</si>
  <si>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</si>
  <si>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</si>
  <si>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</si>
  <si>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</si>
  <si>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</si>
  <si>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</si>
  <si>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</si>
  <si>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</si>
  <si>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</si>
  <si>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</si>
  <si>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</si>
  <si>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</si>
  <si>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</si>
  <si>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</si>
  <si>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</si>
  <si>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</si>
  <si>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</si>
  <si>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</si>
  <si>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</si>
  <si>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</si>
  <si>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</si>
  <si>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</si>
  <si>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</si>
  <si>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</si>
  <si>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</si>
  <si>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</si>
  <si>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</si>
  <si>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</si>
  <si>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</si>
  <si>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</si>
  <si>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</si>
  <si>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</si>
  <si>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</si>
  <si>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</si>
  <si>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</si>
  <si>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</si>
  <si>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</si>
  <si>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</si>
  <si>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</si>
  <si>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</si>
  <si>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</si>
  <si>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</si>
  <si>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</si>
  <si>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</si>
  <si>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</si>
  <si>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</si>
  <si>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</si>
  <si>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</si>
  <si>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</si>
  <si>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</si>
  <si>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</si>
  <si>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</si>
  <si>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</si>
  <si>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</si>
  <si>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</si>
  <si>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</si>
  <si>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</si>
  <si>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</si>
  <si>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</si>
  <si>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</si>
  <si>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</si>
  <si>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</si>
  <si>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</si>
  <si>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</si>
  <si>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</si>
  <si>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</si>
  <si>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</si>
  <si>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</si>
  <si>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</si>
  <si>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</si>
  <si>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</si>
  <si>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</si>
  <si>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</si>
  <si>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</si>
  <si>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</si>
  <si>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</si>
  <si>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</si>
  <si>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</si>
  <si>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</si>
  <si>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</si>
  <si>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</si>
  <si>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</si>
  <si>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</si>
  <si>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</si>
  <si>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</si>
  <si>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</si>
  <si>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</si>
  <si>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</si>
  <si>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</si>
  <si>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</si>
  <si>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</si>
  <si>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</si>
  <si>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</si>
  <si>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</si>
  <si>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</si>
  <si>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</si>
  <si>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</si>
  <si>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</si>
  <si>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</si>
  <si>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</si>
  <si>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</si>
  <si>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</si>
  <si>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</si>
  <si>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</si>
  <si>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</si>
  <si>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</si>
  <si>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</si>
  <si>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</si>
  <si>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</si>
  <si>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</si>
  <si>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</si>
  <si>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</si>
  <si>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</si>
  <si>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</si>
  <si>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</si>
  <si>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</si>
  <si>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</si>
  <si>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</si>
  <si>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</si>
  <si>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</si>
  <si>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</si>
  <si>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</si>
  <si>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</si>
  <si>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</si>
  <si>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</si>
  <si>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</si>
  <si>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</si>
  <si>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</si>
  <si>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</si>
  <si>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</si>
  <si>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</si>
  <si>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</si>
  <si>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</si>
  <si>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</si>
  <si>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</si>
  <si>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</si>
  <si>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</si>
  <si>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</si>
  <si>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</si>
  <si>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</si>
  <si>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</si>
  <si>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</si>
  <si>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</si>
  <si>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</si>
  <si>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</si>
  <si>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</si>
  <si>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</si>
  <si>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</si>
  <si>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</si>
  <si>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</si>
  <si>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</si>
  <si>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</si>
  <si>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</si>
  <si>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</si>
  <si>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</si>
  <si>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</si>
  <si>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</si>
  <si>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</si>
  <si>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</si>
  <si>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</si>
  <si>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</si>
  <si>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</si>
  <si>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</si>
  <si>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</si>
  <si>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</si>
  <si>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</si>
  <si>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</si>
  <si>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</si>
  <si>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</si>
  <si>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</si>
  <si>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</si>
  <si>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</si>
  <si>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</si>
  <si>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</si>
  <si>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</si>
  <si>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</si>
  <si>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</si>
  <si>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</si>
  <si>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</si>
  <si>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</si>
  <si>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</si>
  <si>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</si>
  <si>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</si>
  <si>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</si>
  <si>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</si>
  <si>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</si>
  <si>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</si>
  <si>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</si>
  <si>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</si>
  <si>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</si>
  <si>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</si>
  <si>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</si>
  <si>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</si>
  <si>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</si>
  <si>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</si>
  <si>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</si>
  <si>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</si>
  <si>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</si>
  <si>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</si>
  <si>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</si>
  <si>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</si>
  <si>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</si>
  <si>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</si>
  <si>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</si>
  <si>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</si>
  <si>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</si>
  <si>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</si>
  <si>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</si>
  <si>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</si>
  <si>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</si>
  <si>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</si>
  <si>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</si>
  <si>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</si>
  <si>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</si>
  <si>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</si>
  <si>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</si>
  <si>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</si>
  <si>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</si>
  <si>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</si>
  <si>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</si>
  <si>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</si>
  <si>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</si>
  <si>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</si>
  <si>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</si>
  <si>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</si>
  <si>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</si>
  <si>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</si>
  <si>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</si>
  <si>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</si>
  <si>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</si>
  <si>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</si>
  <si>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</si>
  <si>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</si>
  <si>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</si>
  <si>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</si>
  <si>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</si>
  <si>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</si>
  <si>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</si>
  <si>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</si>
  <si>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</si>
  <si>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</si>
  <si>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</si>
  <si>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</si>
  <si>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</si>
  <si>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</si>
  <si>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</si>
  <si>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</si>
  <si>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</si>
  <si>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</si>
  <si>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</si>
  <si>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</si>
  <si>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</si>
  <si>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</si>
  <si>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</si>
  <si>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</si>
  <si>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</si>
  <si>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</si>
  <si>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</si>
  <si>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</si>
  <si>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</si>
  <si>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</si>
  <si>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</si>
  <si>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</si>
  <si>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</si>
  <si>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</si>
  <si>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</si>
  <si>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</si>
  <si>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</si>
  <si>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</si>
  <si>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</si>
  <si>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</si>
  <si>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</si>
  <si>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</si>
  <si>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</si>
  <si>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</si>
  <si>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</si>
  <si>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</si>
  <si>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</si>
  <si>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</si>
  <si>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</si>
  <si>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</si>
  <si>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</si>
  <si>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</si>
  <si>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</si>
  <si>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</si>
  <si>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</si>
  <si>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</si>
  <si>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</si>
  <si>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</si>
  <si>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</si>
  <si>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</si>
  <si>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</si>
  <si>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</si>
  <si>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</si>
  <si>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</si>
  <si>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</si>
  <si>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</si>
  <si>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</si>
  <si>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</si>
  <si>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</si>
  <si>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</si>
  <si>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</si>
  <si>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</si>
  <si>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</si>
  <si>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</si>
  <si>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</si>
  <si>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</si>
  <si>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</si>
  <si>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</si>
  <si>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</si>
  <si>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</si>
  <si>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</si>
  <si>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</si>
  <si>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</si>
  <si>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</si>
  <si>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</si>
  <si>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</si>
  <si>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</si>
  <si>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</si>
  <si>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</si>
  <si>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</si>
  <si>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</si>
  <si>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</si>
  <si>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</si>
  <si>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</si>
  <si>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</si>
  <si>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</si>
  <si>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</si>
  <si>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</si>
  <si>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</si>
  <si>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</si>
  <si>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</si>
  <si>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</si>
  <si>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</si>
  <si>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</si>
  <si>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</si>
  <si>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</si>
  <si>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</si>
  <si>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</si>
  <si>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</si>
  <si>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</si>
  <si>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</si>
  <si>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</si>
  <si>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</si>
  <si>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</si>
  <si>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</si>
  <si>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</si>
  <si>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</si>
  <si>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</si>
  <si>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</si>
  <si>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</si>
  <si>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</si>
  <si>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</si>
  <si>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</si>
  <si>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</si>
  <si>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</si>
  <si>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</si>
  <si>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</si>
  <si>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</si>
  <si>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</si>
  <si>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</si>
  <si>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</si>
  <si>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</si>
  <si>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</si>
  <si>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</si>
  <si>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</si>
  <si>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</si>
  <si>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</si>
  <si>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</si>
  <si>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</si>
  <si>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</si>
  <si>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</si>
  <si>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</si>
  <si>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</si>
  <si>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</si>
  <si>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</si>
  <si>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</si>
  <si>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</si>
  <si>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</si>
  <si>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</si>
  <si>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</si>
  <si>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</si>
  <si>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</si>
  <si>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</si>
  <si>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</si>
  <si>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</si>
  <si>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</si>
  <si>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</si>
  <si>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</si>
  <si>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</si>
  <si>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</si>
  <si>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</si>
  <si>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</si>
  <si>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</si>
  <si>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</si>
  <si>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</si>
  <si>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</si>
  <si>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</si>
  <si>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</si>
  <si>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</si>
  <si>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</si>
  <si>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</si>
  <si>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</si>
  <si>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</si>
  <si>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</si>
  <si>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</si>
  <si>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</si>
  <si>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</si>
  <si>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</si>
  <si>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</si>
  <si>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</si>
  <si>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</si>
  <si>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</si>
  <si>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</si>
  <si>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</si>
  <si>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</si>
  <si>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</si>
  <si>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</si>
  <si>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</si>
  <si>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</si>
  <si>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</si>
  <si>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</si>
  <si>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</si>
  <si>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</si>
  <si>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</si>
  <si>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</si>
  <si>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</si>
  <si>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</si>
  <si>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</si>
  <si>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</si>
  <si>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</si>
  <si>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</si>
  <si>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</si>
  <si>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</si>
  <si>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</si>
  <si>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</si>
  <si>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</si>
  <si>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</si>
  <si>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</si>
  <si>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</si>
  <si>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</si>
  <si>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</si>
  <si>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</si>
  <si>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</si>
  <si>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</si>
  <si>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</si>
  <si>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</si>
  <si>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</si>
  <si>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</si>
  <si>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</si>
  <si>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</si>
  <si>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</si>
  <si>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</si>
  <si>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</si>
  <si>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</si>
  <si>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</si>
  <si>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</si>
  <si>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</si>
  <si>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</si>
  <si>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</si>
  <si>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</si>
  <si>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</si>
  <si>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</si>
  <si>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</si>
  <si>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</si>
  <si>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</si>
  <si>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</si>
  <si>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</si>
  <si>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</si>
  <si>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</si>
  <si>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</si>
  <si>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</si>
  <si>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</si>
  <si>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</si>
  <si>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</si>
  <si>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</si>
  <si>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</si>
  <si>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</si>
  <si>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</si>
  <si>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</si>
  <si>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</si>
  <si>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</si>
  <si>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</si>
  <si>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</si>
  <si>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</si>
  <si>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</si>
  <si>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</si>
  <si>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</si>
  <si>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</si>
  <si>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</si>
  <si>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</si>
  <si>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</si>
  <si>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</si>
  <si>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</si>
  <si>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</si>
  <si>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</si>
  <si>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</si>
  <si>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</si>
  <si>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</si>
  <si>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</si>
  <si>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</si>
  <si>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</si>
  <si>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</si>
  <si>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</si>
  <si>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</si>
  <si>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</si>
  <si>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</si>
  <si>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</si>
  <si>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</si>
  <si>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</si>
  <si>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</si>
  <si>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</si>
  <si>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</si>
  <si>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</si>
  <si>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</si>
  <si>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</si>
  <si>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</si>
  <si>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</si>
  <si>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</si>
  <si>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</si>
  <si>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</si>
  <si>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</si>
  <si>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</si>
  <si>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</si>
  <si>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</si>
  <si>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</si>
  <si>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</si>
  <si>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</si>
  <si>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</si>
  <si>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</si>
  <si>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</si>
  <si>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</si>
  <si>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</si>
  <si>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</si>
  <si>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</si>
  <si>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</si>
  <si>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</si>
  <si>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</si>
  <si>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</si>
  <si>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</si>
  <si>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</si>
  <si>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</si>
  <si>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</si>
  <si>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</si>
  <si>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</si>
  <si>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</si>
  <si>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</si>
  <si>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</si>
  <si>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</si>
  <si>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</si>
  <si>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</si>
  <si>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</si>
  <si>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</si>
  <si>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</si>
  <si>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</si>
  <si>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</si>
  <si>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</si>
  <si>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</si>
  <si>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</si>
  <si>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</si>
  <si>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</si>
  <si>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</si>
  <si>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</si>
  <si>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</si>
  <si>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</si>
  <si>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</si>
  <si>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</si>
  <si>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</si>
  <si>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</si>
  <si>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</si>
  <si>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</si>
  <si>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</si>
  <si>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</si>
  <si>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</si>
  <si>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</si>
  <si>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</si>
  <si>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</si>
  <si>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</si>
  <si>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</si>
  <si>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</si>
  <si>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</si>
  <si>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</si>
  <si>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</si>
  <si>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</si>
  <si>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</si>
  <si>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</si>
  <si>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</si>
  <si>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</si>
  <si>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</si>
  <si>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</si>
  <si>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</si>
  <si>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</si>
  <si>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</si>
  <si>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</si>
  <si>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</si>
  <si>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</si>
  <si>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</si>
  <si>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</si>
  <si>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</si>
  <si>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</si>
  <si>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</si>
  <si>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</si>
  <si>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</si>
  <si>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</si>
  <si>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</si>
  <si>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</si>
  <si>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</si>
  <si>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</si>
  <si>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</si>
  <si>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</si>
  <si>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</si>
  <si>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</si>
  <si>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</si>
  <si>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</si>
  <si>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</si>
  <si>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</si>
  <si>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</si>
  <si>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</si>
  <si>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</si>
  <si>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</si>
  <si>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</si>
  <si>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</si>
  <si>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</si>
  <si>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</si>
  <si>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</si>
  <si>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</si>
  <si>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</si>
  <si>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</si>
  <si>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</si>
  <si>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</si>
  <si>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</si>
  <si>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</si>
  <si>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</si>
  <si>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</si>
  <si>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</si>
  <si>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</si>
  <si>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</si>
  <si>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</si>
  <si>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</si>
  <si>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</si>
  <si>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</si>
  <si>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</si>
  <si>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</si>
  <si>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</si>
  <si>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</si>
  <si>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</si>
  <si>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</si>
  <si>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</si>
  <si>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</si>
  <si>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</si>
  <si>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</si>
  <si>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</si>
  <si>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</si>
  <si>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</si>
  <si>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</si>
  <si>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</si>
  <si>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</si>
  <si>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</si>
  <si>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</si>
  <si>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</si>
  <si>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</si>
  <si>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</si>
  <si>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</si>
  <si>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</si>
  <si>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</si>
  <si>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</si>
  <si>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</si>
  <si>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</si>
  <si>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</si>
  <si>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</si>
  <si>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</si>
  <si>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</si>
  <si>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</si>
  <si>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</si>
  <si>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</si>
  <si>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</si>
  <si>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</si>
  <si>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</si>
  <si>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</si>
  <si>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</si>
  <si>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</si>
  <si>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</si>
  <si>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</si>
  <si>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</si>
  <si>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</si>
  <si>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</si>
  <si>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</si>
  <si>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</si>
  <si>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</si>
  <si>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</si>
  <si>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</si>
  <si>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</si>
  <si>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</si>
  <si>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</si>
  <si>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</si>
  <si>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</si>
  <si>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</si>
  <si>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</si>
  <si>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</si>
  <si>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</si>
  <si>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</si>
  <si>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</si>
  <si>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</si>
  <si>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</si>
  <si>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</si>
  <si>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</si>
  <si>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</si>
  <si>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</si>
  <si>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</si>
  <si>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</si>
  <si>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</si>
  <si>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</si>
  <si>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</si>
  <si>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</si>
  <si>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</si>
  <si>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</si>
  <si>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</si>
  <si>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</si>
  <si>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</si>
  <si>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</si>
  <si>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</si>
  <si>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</si>
  <si>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</si>
  <si>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</si>
  <si>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</si>
  <si>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</si>
  <si>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</si>
  <si>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</si>
  <si>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</si>
  <si>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</si>
  <si>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</si>
  <si>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</si>
  <si>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</si>
  <si>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</si>
  <si>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</si>
  <si>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</si>
  <si>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</si>
  <si>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</si>
  <si>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</si>
  <si>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</si>
  <si>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</si>
  <si>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</si>
  <si>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</si>
  <si>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</si>
  <si>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</si>
  <si>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</si>
  <si>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</si>
  <si>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</si>
  <si>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</si>
  <si>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</si>
  <si>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</si>
  <si>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</si>
  <si>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</si>
  <si>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</si>
  <si>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</si>
  <si>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</si>
  <si>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</si>
  <si>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</si>
  <si>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</si>
  <si>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</si>
  <si>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</si>
  <si>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</si>
  <si>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</si>
  <si>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</si>
  <si>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</si>
  <si>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</si>
  <si>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</si>
  <si>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</si>
  <si>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</si>
  <si>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</si>
  <si>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</si>
  <si>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</si>
  <si>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</si>
  <si>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</si>
  <si>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</si>
  <si>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</si>
  <si>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</si>
  <si>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</si>
  <si>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</si>
  <si>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</si>
  <si>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</si>
  <si>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</si>
  <si>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</si>
  <si>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</si>
  <si>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</si>
  <si>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</si>
  <si>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</si>
  <si>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</si>
  <si>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</si>
  <si>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</si>
  <si>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</si>
  <si>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</si>
  <si>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</si>
  <si>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</si>
  <si>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</si>
  <si>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</si>
  <si>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</si>
  <si>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</si>
  <si>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</si>
  <si>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</si>
  <si>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</si>
  <si>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</si>
  <si>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</si>
  <si>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</si>
  <si>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</si>
  <si>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</si>
  <si>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</si>
  <si>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</si>
  <si>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</si>
  <si>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</si>
  <si>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</si>
  <si>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</si>
  <si>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</si>
  <si>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</si>
  <si>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</si>
  <si>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</si>
  <si>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</si>
  <si>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</si>
  <si>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</si>
  <si>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</si>
  <si>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</si>
  <si>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</si>
  <si>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</si>
  <si>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</si>
  <si>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</si>
  <si>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</si>
  <si>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</si>
  <si>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</si>
  <si>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</si>
  <si>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</si>
  <si>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</si>
  <si>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</si>
  <si>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</si>
  <si>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</si>
  <si>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</si>
  <si>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</si>
  <si>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</si>
  <si>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</si>
  <si>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</si>
  <si>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</si>
  <si>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</si>
  <si>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</si>
  <si>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</si>
  <si>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</si>
  <si>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</si>
  <si>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</si>
  <si>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</si>
  <si>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</si>
  <si>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</si>
  <si>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</si>
  <si>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</si>
  <si>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</si>
  <si>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</si>
  <si>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</si>
  <si>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</si>
  <si>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</si>
  <si>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</si>
  <si>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</si>
  <si>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</si>
  <si>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</si>
  <si>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</si>
  <si>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</si>
  <si>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</si>
  <si>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</si>
  <si>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</si>
  <si>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</si>
  <si>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</si>
  <si>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</si>
  <si>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</si>
  <si>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</si>
  <si>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</si>
  <si>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</si>
  <si>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</si>
  <si>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</si>
  <si>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</si>
  <si>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</si>
  <si>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</si>
  <si>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</si>
  <si>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</si>
  <si>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</si>
  <si>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</si>
  <si>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</si>
  <si>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</si>
  <si>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</si>
  <si>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</si>
  <si>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</si>
  <si>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</si>
  <si>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</si>
  <si>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</si>
  <si>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</si>
  <si>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</si>
  <si>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</si>
  <si>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</si>
  <si>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</si>
  <si>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</si>
  <si>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</si>
  <si>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</si>
  <si>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</si>
  <si>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</si>
  <si>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</si>
  <si>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</si>
  <si>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</si>
  <si>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</si>
  <si>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</si>
  <si>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</si>
  <si>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</si>
  <si>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</si>
  <si>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</si>
  <si>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</si>
  <si>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</si>
  <si>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</si>
  <si>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</si>
  <si>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</si>
  <si>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</si>
  <si>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</si>
  <si>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</si>
  <si>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</si>
  <si>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</si>
  <si>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</si>
  <si>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</si>
  <si>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</si>
  <si>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</si>
  <si>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</si>
  <si>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</si>
  <si>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</si>
  <si>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</si>
  <si>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</si>
  <si>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</si>
  <si>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</si>
  <si>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</si>
  <si>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</si>
  <si>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</si>
  <si>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</si>
  <si>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</si>
  <si>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</si>
  <si>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</si>
  <si>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</si>
  <si>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</si>
  <si>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</si>
  <si>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</si>
  <si>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</si>
  <si>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</si>
  <si>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</si>
  <si>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</si>
  <si>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</si>
  <si>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</si>
  <si>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</si>
  <si>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</si>
  <si>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</si>
  <si>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</si>
  <si>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</si>
  <si>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</si>
  <si>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</si>
  <si>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</si>
  <si>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</si>
  <si>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</si>
  <si>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</si>
  <si>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</si>
  <si>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</si>
  <si>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</si>
  <si>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</si>
  <si>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</si>
  <si>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</si>
  <si>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</si>
  <si>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</si>
  <si>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</si>
  <si>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</si>
  <si>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</si>
  <si>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</si>
  <si>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</si>
  <si>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</si>
  <si>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</si>
  <si>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</si>
  <si>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</si>
  <si>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</si>
  <si>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</si>
  <si>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</si>
  <si>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</si>
  <si>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</si>
  <si>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</si>
  <si>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</si>
  <si>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</si>
  <si>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</si>
  <si>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</si>
  <si>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</si>
  <si>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</si>
  <si>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</si>
  <si>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</si>
  <si>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</si>
  <si>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</si>
  <si>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</si>
  <si>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</si>
  <si>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</si>
  <si>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</si>
  <si>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</si>
  <si>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</si>
  <si>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</si>
  <si>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</si>
  <si>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</si>
  <si>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</si>
  <si>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</si>
  <si>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</si>
  <si>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</si>
  <si>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</si>
  <si>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</si>
  <si>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</si>
  <si>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</si>
  <si>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</si>
  <si>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</si>
  <si>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</si>
  <si>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</si>
  <si>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</si>
  <si>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</si>
  <si>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</si>
  <si>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</si>
  <si>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</si>
  <si>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</si>
  <si>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</si>
  <si>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</si>
  <si>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</si>
  <si>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</si>
  <si>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</si>
  <si>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</si>
  <si>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</si>
  <si>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</si>
  <si>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</si>
  <si>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</si>
  <si>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</si>
  <si>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</si>
  <si>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</si>
  <si>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</si>
  <si>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</si>
  <si>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</si>
  <si>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</si>
  <si>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</si>
  <si>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</si>
  <si>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</si>
  <si>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</si>
  <si>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</si>
  <si>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</si>
  <si>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</si>
  <si>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</si>
  <si>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</si>
  <si>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</si>
  <si>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</si>
  <si>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</si>
  <si>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</si>
  <si>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</si>
  <si>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</si>
  <si>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</si>
  <si>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</si>
  <si>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</si>
  <si>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</si>
  <si>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</si>
  <si>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</si>
  <si>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</si>
  <si>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</si>
  <si>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</si>
  <si>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</si>
  <si>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</si>
  <si>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</si>
  <si>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</si>
  <si>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</si>
  <si>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</si>
  <si>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</si>
  <si>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</si>
  <si>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</si>
  <si>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</si>
  <si>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</si>
  <si>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</si>
  <si>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</si>
  <si>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</si>
  <si>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</si>
  <si>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</si>
  <si>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</si>
  <si>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</si>
  <si>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</si>
  <si>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</si>
  <si>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</si>
  <si>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</si>
  <si>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</si>
  <si>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</si>
  <si>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</si>
  <si>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</si>
  <si>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</si>
  <si>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</si>
  <si>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</si>
  <si>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</si>
  <si>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</si>
  <si>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</si>
  <si>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</si>
  <si>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</si>
  <si>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</si>
  <si>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</si>
  <si>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</si>
  <si>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</si>
  <si>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</si>
  <si>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</si>
  <si>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</si>
  <si>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</si>
  <si>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</si>
  <si>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</si>
  <si>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</si>
  <si>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</si>
  <si>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</si>
  <si>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</si>
  <si>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</si>
  <si>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</si>
  <si>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</si>
  <si>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</si>
  <si>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</si>
  <si>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</si>
  <si>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</si>
  <si>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</si>
  <si>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</si>
  <si>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</si>
  <si>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</si>
  <si>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</si>
  <si>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</si>
  <si>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</si>
  <si>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</si>
  <si>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</si>
  <si>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</si>
  <si>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</si>
  <si>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</si>
  <si>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</si>
  <si>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</si>
  <si>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</si>
  <si>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</si>
  <si>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</si>
  <si>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</si>
  <si>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</si>
  <si>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</si>
  <si>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</si>
  <si>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</si>
  <si>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</si>
  <si>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</si>
  <si>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</si>
  <si>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</si>
  <si>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</si>
  <si>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</si>
  <si>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</si>
  <si>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</si>
  <si>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</si>
  <si>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</si>
  <si>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</si>
  <si>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</si>
  <si>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</si>
  <si>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</si>
  <si>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</si>
  <si>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</si>
  <si>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</si>
  <si>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</si>
  <si>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</si>
  <si>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</si>
  <si>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</si>
  <si>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</si>
  <si>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</si>
  <si>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</si>
  <si>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</si>
  <si>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</si>
  <si>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</si>
  <si>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</si>
  <si>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</si>
  <si>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</si>
  <si>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</si>
  <si>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</si>
  <si>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</si>
  <si>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</si>
  <si>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</si>
  <si>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</si>
  <si>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</si>
  <si>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</si>
  <si>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</si>
  <si>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</si>
  <si>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</si>
  <si>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</si>
  <si>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</si>
  <si>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</si>
  <si>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</si>
  <si>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</si>
  <si>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</si>
  <si>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</si>
  <si>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</si>
  <si>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</si>
  <si>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</si>
  <si>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</si>
  <si>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</si>
  <si>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</si>
  <si>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</si>
  <si>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</si>
  <si>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</si>
  <si>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</si>
  <si>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</si>
  <si>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</si>
  <si>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</si>
  <si>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</si>
  <si>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</si>
  <si>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</si>
  <si>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</si>
  <si>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</si>
  <si>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</si>
  <si>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</si>
  <si>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</si>
  <si>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</si>
  <si>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</si>
  <si>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</si>
  <si>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</si>
  <si>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</si>
  <si>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</si>
  <si>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</si>
  <si>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</si>
  <si>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</si>
  <si>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</si>
  <si>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</si>
  <si>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</si>
  <si>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</si>
  <si>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</si>
  <si>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</si>
  <si>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</si>
  <si>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</si>
  <si>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</si>
  <si>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</si>
  <si>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</si>
  <si>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</si>
  <si>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</si>
  <si>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</si>
  <si>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</si>
  <si>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</si>
  <si>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</si>
  <si>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</si>
  <si>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</si>
  <si>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</si>
  <si>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</si>
  <si>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</si>
  <si>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</si>
  <si>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</si>
  <si>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</si>
  <si>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</si>
  <si>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</si>
  <si>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</si>
  <si>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</si>
  <si>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</si>
  <si>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</si>
  <si>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</si>
  <si>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</si>
  <si>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</si>
  <si>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</si>
  <si>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</si>
  <si>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</si>
  <si>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</si>
  <si>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</si>
  <si>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</si>
  <si>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</si>
  <si>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</si>
  <si>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</si>
  <si>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</si>
  <si>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</si>
  <si>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</si>
  <si>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</si>
  <si>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</si>
  <si>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</si>
  <si>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</si>
  <si>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</si>
  <si>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</si>
  <si>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</si>
  <si>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</si>
  <si>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</si>
  <si>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</si>
  <si>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</si>
  <si>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</si>
  <si>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</si>
  <si>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</si>
  <si>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</si>
  <si>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</si>
  <si>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</si>
  <si>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</si>
  <si>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</si>
  <si>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</si>
  <si>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</si>
  <si>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</si>
  <si>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</si>
  <si>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</si>
  <si>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</si>
  <si>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</si>
  <si>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</si>
  <si>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</si>
  <si>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</si>
  <si>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</si>
  <si>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</si>
  <si>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</si>
  <si>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</si>
  <si>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</si>
  <si>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</si>
  <si>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</si>
  <si>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</si>
  <si>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</si>
  <si>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</si>
  <si>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</si>
  <si>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</si>
  <si>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</si>
  <si>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</si>
  <si>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</si>
  <si>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</si>
  <si>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</si>
  <si>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</si>
  <si>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</si>
  <si>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</si>
  <si>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</si>
  <si>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</si>
  <si>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</si>
  <si>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</si>
  <si>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</si>
  <si>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</si>
  <si>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</si>
  <si>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</si>
  <si>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</si>
  <si>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</si>
  <si>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</si>
  <si>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</si>
  <si>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</si>
  <si>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</si>
  <si>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</si>
  <si>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</si>
  <si>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</si>
  <si>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</si>
  <si>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</si>
  <si>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</si>
  <si>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</si>
  <si>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</si>
  <si>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</si>
  <si>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</si>
  <si>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</si>
  <si>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</si>
  <si>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</si>
  <si>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</si>
  <si>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</si>
  <si>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</si>
  <si>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</si>
  <si>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</si>
  <si>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</si>
  <si>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</si>
  <si>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</si>
  <si>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</si>
  <si>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</si>
  <si>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</si>
  <si>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</si>
  <si>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</si>
  <si>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</si>
  <si>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</si>
  <si>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</si>
  <si>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</si>
  <si>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</si>
  <si>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</si>
  <si>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</si>
  <si>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</si>
  <si>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</si>
  <si>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</si>
  <si>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</si>
  <si>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</si>
  <si>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</si>
  <si>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</si>
  <si>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</si>
  <si>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</si>
  <si>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</si>
  <si>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</si>
  <si>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</si>
  <si>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</si>
  <si>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</si>
  <si>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</si>
  <si>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</si>
  <si>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</si>
  <si>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</si>
  <si>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</si>
  <si>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</si>
  <si>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</si>
  <si>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</si>
  <si>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</si>
  <si>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</si>
  <si>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</si>
  <si>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</si>
  <si>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</si>
  <si>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</si>
  <si>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</si>
  <si>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</si>
  <si>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</si>
  <si>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</si>
  <si>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</si>
  <si>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</si>
  <si>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</si>
  <si>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</si>
  <si>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</si>
  <si>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</si>
  <si>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</si>
  <si>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</si>
  <si>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</si>
  <si>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</si>
  <si>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</si>
  <si>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</si>
  <si>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</si>
  <si>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</si>
  <si>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</si>
  <si>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</si>
  <si>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</si>
  <si>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</si>
  <si>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</si>
  <si>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</si>
  <si>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</si>
  <si>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</si>
  <si>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</si>
  <si>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</si>
  <si>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</si>
  <si>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</si>
  <si>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</si>
  <si>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</si>
  <si>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</si>
  <si>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</si>
  <si>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</si>
  <si>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</si>
  <si>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</si>
  <si>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</si>
  <si>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</si>
  <si>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</si>
  <si>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</si>
  <si>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</si>
  <si>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</si>
  <si>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</si>
  <si>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</si>
  <si>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</si>
  <si>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</si>
  <si>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</si>
  <si>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</si>
  <si>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</si>
  <si>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</si>
  <si>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</si>
  <si>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</si>
  <si>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</si>
  <si>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</si>
  <si>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</si>
  <si>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</si>
  <si>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</si>
  <si>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</si>
  <si>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</si>
  <si>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</si>
  <si>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</si>
  <si>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</si>
  <si>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</si>
  <si>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</si>
  <si>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</si>
  <si>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</si>
  <si>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</si>
  <si>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</si>
  <si>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</si>
  <si>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</si>
  <si>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</si>
  <si>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</si>
  <si>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</si>
  <si>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</si>
  <si>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</si>
  <si>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</si>
  <si>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</si>
  <si>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</si>
  <si>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</si>
  <si>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</si>
  <si>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</si>
  <si>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</si>
  <si>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</si>
  <si>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</si>
  <si>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</si>
  <si>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</si>
  <si>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</si>
  <si>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</si>
  <si>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</si>
  <si>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</si>
  <si>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</si>
  <si>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</si>
  <si>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</si>
  <si>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</si>
  <si>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</si>
  <si>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</si>
  <si>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</si>
  <si>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</si>
  <si>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</si>
  <si>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</si>
  <si>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</si>
  <si>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</si>
  <si>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</si>
  <si>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</si>
  <si>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</si>
  <si>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</si>
  <si>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</si>
  <si>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</si>
  <si>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</si>
  <si>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</si>
  <si>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</si>
  <si>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</si>
  <si>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</si>
  <si>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</si>
  <si>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</si>
  <si>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</si>
  <si>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</si>
  <si>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</si>
  <si>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</si>
  <si>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</si>
  <si>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</si>
  <si>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</si>
  <si>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</si>
  <si>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</si>
  <si>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</si>
  <si>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</si>
  <si>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</si>
  <si>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</si>
  <si>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</si>
  <si>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</si>
  <si>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</si>
  <si>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</si>
  <si>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</si>
  <si>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</si>
  <si>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</si>
  <si>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</si>
  <si>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</si>
  <si>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</si>
  <si>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</si>
  <si>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</si>
  <si>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</si>
  <si>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</si>
  <si>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</si>
  <si>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</si>
  <si>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</si>
  <si>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</si>
  <si>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</si>
  <si>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</si>
  <si>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</si>
  <si>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</si>
  <si>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</si>
  <si>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</si>
  <si>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</si>
  <si>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</si>
  <si>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</si>
  <si>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</si>
  <si>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</si>
  <si>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</si>
  <si>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</si>
  <si>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</si>
  <si>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</si>
  <si>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</si>
  <si>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</si>
  <si>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</si>
  <si>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</si>
  <si>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</si>
  <si>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</si>
  <si>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</si>
  <si>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</si>
  <si>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</si>
  <si>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</si>
  <si>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</si>
  <si>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</si>
  <si>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</si>
  <si>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</si>
  <si>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</si>
  <si>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</si>
  <si>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</si>
  <si>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</si>
  <si>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</si>
  <si>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</si>
  <si>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</si>
  <si>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</si>
  <si>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</si>
  <si>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</si>
  <si>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</si>
  <si>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</si>
  <si>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</si>
  <si>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</si>
  <si>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</si>
  <si>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</si>
  <si>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</si>
  <si>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</si>
  <si>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</si>
  <si>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</si>
  <si>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</si>
  <si>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</si>
  <si>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</si>
  <si>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</si>
  <si>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</si>
  <si>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</si>
  <si>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</si>
  <si>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</si>
  <si>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</si>
  <si>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</si>
  <si>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</si>
  <si>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</si>
  <si>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</si>
  <si>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</si>
  <si>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</si>
  <si>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</si>
  <si>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</si>
  <si>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</si>
  <si>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</si>
  <si>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</si>
  <si>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</si>
  <si>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</si>
  <si>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</si>
  <si>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</si>
  <si>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</si>
  <si>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</si>
  <si>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</si>
  <si>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</si>
  <si>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</si>
  <si>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</si>
  <si>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</si>
  <si>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</si>
  <si>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</si>
  <si>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</si>
  <si>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</si>
  <si>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</si>
  <si>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</si>
  <si>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</si>
  <si>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</si>
  <si>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</si>
  <si>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</si>
  <si>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</si>
  <si>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</si>
  <si>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</si>
  <si>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</si>
  <si>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</si>
  <si>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</si>
  <si>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</si>
  <si>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</si>
  <si>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</si>
  <si>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</si>
  <si>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</si>
  <si>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</si>
  <si>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</si>
  <si>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</si>
  <si>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</si>
  <si>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</si>
  <si>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</si>
  <si>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</si>
  <si>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</si>
  <si>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</si>
  <si>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</si>
  <si>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</si>
  <si>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</si>
  <si>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</si>
  <si>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</si>
  <si>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</si>
  <si>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</si>
  <si>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</si>
  <si>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</si>
  <si>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</si>
  <si>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</si>
  <si>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</si>
  <si>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</si>
  <si>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</si>
  <si>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</si>
  <si>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</si>
  <si>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</si>
  <si>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</si>
  <si>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</si>
  <si>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</si>
  <si>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</si>
  <si>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</si>
  <si>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</si>
  <si>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</si>
  <si>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</si>
  <si>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</si>
  <si>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</si>
  <si>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</si>
  <si>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</si>
  <si>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</si>
  <si>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</si>
  <si>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</si>
  <si>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</si>
  <si>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</si>
  <si>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</si>
  <si>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</si>
  <si>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</si>
  <si>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</si>
  <si>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</si>
  <si>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</si>
  <si>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</si>
  <si>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</si>
  <si>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</si>
  <si>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</si>
  <si>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</si>
  <si>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</si>
  <si>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</si>
  <si>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</si>
  <si>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</si>
  <si>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</si>
  <si>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</si>
  <si>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</si>
  <si>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</si>
  <si>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</si>
  <si>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</si>
  <si>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</si>
  <si>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</si>
  <si>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</si>
  <si>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</si>
  <si>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</si>
  <si>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</si>
  <si>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</si>
  <si>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</si>
  <si>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</si>
  <si>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</si>
  <si>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</si>
  <si>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</si>
  <si>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</si>
  <si>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</si>
  <si>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</si>
  <si>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</si>
  <si>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</si>
  <si>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</si>
  <si>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</si>
  <si>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</si>
  <si>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</si>
  <si>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</si>
  <si>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</si>
  <si>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</si>
  <si>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</si>
  <si>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</si>
  <si>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</si>
  <si>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</si>
  <si>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</si>
  <si>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</si>
  <si>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</si>
  <si>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</si>
  <si>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</si>
  <si>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</si>
  <si>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</si>
  <si>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</si>
  <si>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</si>
  <si>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</si>
  <si>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</si>
  <si>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</si>
  <si>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</si>
  <si>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</si>
  <si>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</si>
  <si>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</si>
  <si>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</si>
  <si>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</si>
  <si>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</si>
  <si>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</si>
  <si>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</si>
  <si>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</si>
  <si>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</si>
  <si>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</si>
  <si>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</si>
  <si>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</si>
  <si>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</si>
  <si>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</si>
  <si>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</si>
  <si>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</si>
  <si>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</si>
  <si>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</si>
  <si>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</si>
  <si>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</si>
  <si>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</si>
  <si>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</si>
  <si>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</si>
  <si>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</si>
  <si>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</si>
  <si>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</si>
  <si>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</si>
  <si>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</si>
  <si>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</si>
  <si>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</si>
  <si>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</si>
  <si>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</si>
  <si>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</si>
  <si>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</si>
  <si>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</si>
  <si>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</si>
  <si>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</si>
  <si>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</si>
  <si>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</si>
  <si>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</si>
  <si>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</si>
  <si>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</si>
  <si>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</si>
  <si>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</si>
  <si>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</si>
  <si>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</si>
  <si>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</si>
  <si>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</si>
  <si>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</si>
  <si>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</si>
  <si>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</si>
  <si>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</si>
  <si>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</si>
  <si>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</si>
  <si>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</si>
  <si>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</si>
  <si>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</si>
  <si>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</si>
  <si>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</si>
  <si>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</si>
  <si>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</si>
  <si>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</si>
  <si>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</si>
  <si>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</si>
  <si>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</si>
  <si>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</si>
  <si>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</si>
  <si>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</si>
  <si>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</si>
  <si>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</si>
  <si>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</si>
  <si>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</si>
  <si>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</si>
  <si>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</si>
  <si>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</si>
  <si>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</si>
  <si>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</si>
  <si>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</si>
  <si>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</si>
  <si>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</si>
  <si>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</si>
  <si>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</si>
  <si>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</si>
  <si>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</si>
  <si>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</si>
  <si>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</si>
  <si>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</si>
  <si>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</si>
  <si>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</si>
  <si>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</si>
  <si>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</si>
  <si>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</si>
  <si>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</si>
  <si>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</si>
  <si>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</si>
  <si>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</si>
  <si>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</si>
  <si>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</si>
  <si>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</si>
  <si>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</si>
  <si>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</si>
  <si>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</si>
  <si>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</si>
  <si>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</si>
  <si>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</si>
  <si>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</si>
  <si>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</si>
  <si>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</si>
  <si>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</si>
  <si>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</si>
  <si>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</si>
  <si>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</si>
  <si>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</si>
  <si>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</si>
  <si>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</si>
  <si>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</si>
  <si>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</si>
  <si>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</si>
  <si>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</si>
  <si>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</si>
  <si>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</si>
  <si>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</si>
  <si>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</si>
  <si>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</si>
  <si>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</si>
  <si>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</si>
  <si>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</si>
  <si>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</si>
  <si>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</si>
  <si>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</si>
  <si>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</si>
  <si>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</si>
  <si>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</si>
  <si>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</si>
  <si>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</si>
  <si>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</si>
  <si>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</si>
  <si>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</si>
  <si>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</si>
  <si>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</si>
  <si>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</si>
  <si>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</si>
  <si>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</si>
  <si>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</si>
  <si>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</si>
  <si>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</si>
  <si>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</si>
  <si>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</si>
  <si>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</si>
  <si>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</si>
  <si>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</si>
  <si>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</si>
  <si>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</si>
  <si>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</si>
  <si>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</si>
  <si>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</si>
  <si>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</si>
  <si>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</si>
  <si>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</si>
  <si>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</si>
  <si>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</si>
  <si>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</si>
  <si>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</si>
  <si>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</si>
  <si>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</si>
  <si>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</si>
  <si>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</si>
  <si>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</si>
  <si>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</si>
  <si>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</si>
  <si>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</si>
  <si>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</si>
  <si>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</si>
  <si>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</si>
  <si>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</si>
  <si>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</si>
  <si>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</si>
  <si>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</si>
  <si>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</si>
  <si>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</si>
  <si>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</si>
  <si>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</si>
  <si>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</si>
  <si>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</si>
  <si>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</si>
  <si>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</si>
  <si>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</si>
  <si>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</si>
  <si>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</si>
  <si>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</si>
  <si>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</si>
  <si>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</si>
  <si>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</si>
  <si>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</si>
  <si>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</si>
  <si>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</si>
  <si>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</si>
  <si>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</si>
  <si>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</si>
  <si>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</si>
  <si>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</si>
  <si>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</si>
  <si>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</si>
  <si>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</si>
  <si>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</si>
  <si>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</si>
  <si>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</si>
  <si>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</si>
  <si>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</si>
  <si>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</si>
  <si>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</si>
  <si>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</si>
  <si>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</si>
  <si>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</si>
  <si>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</si>
  <si>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</si>
  <si>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</si>
  <si>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</si>
  <si>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</si>
  <si>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</si>
  <si>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</si>
  <si>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</si>
  <si>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</si>
  <si>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</si>
  <si>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</si>
  <si>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</si>
  <si>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</si>
  <si>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</si>
  <si>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</si>
  <si>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</si>
  <si>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</si>
  <si>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</si>
  <si>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</si>
  <si>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</si>
  <si>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</si>
  <si>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</si>
  <si>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</si>
  <si>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</si>
  <si>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</si>
  <si>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</si>
  <si>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</si>
  <si>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</si>
  <si>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</si>
  <si>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</si>
  <si>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</si>
  <si>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</si>
  <si>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</si>
  <si>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</si>
  <si>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</si>
  <si>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</si>
  <si>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</si>
  <si>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</si>
  <si>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</si>
  <si>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</si>
  <si>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</si>
  <si>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</si>
  <si>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</si>
  <si>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</si>
  <si>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</si>
  <si>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</si>
  <si>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</si>
  <si>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</si>
  <si>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</si>
  <si>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</si>
  <si>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</si>
  <si>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</si>
  <si>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</si>
  <si>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</si>
  <si>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</si>
  <si>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</si>
  <si>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</si>
  <si>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</si>
  <si>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</si>
  <si>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</si>
  <si>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</si>
  <si>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</si>
  <si>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</si>
  <si>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</si>
  <si>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</si>
  <si>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</si>
  <si>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</si>
  <si>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</si>
  <si>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</si>
  <si>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</si>
  <si>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</si>
  <si>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</si>
  <si>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</si>
  <si>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</si>
  <si>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</si>
  <si>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</si>
  <si>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</si>
  <si>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</si>
  <si>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</si>
  <si>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</si>
  <si>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</si>
  <si>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</si>
  <si>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</si>
  <si>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</si>
  <si>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</si>
  <si>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</si>
  <si>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</si>
  <si>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</si>
  <si>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</si>
  <si>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</si>
  <si>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</si>
  <si>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</si>
  <si>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</si>
  <si>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</si>
  <si>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</si>
  <si>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</si>
  <si>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</si>
  <si>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</si>
  <si>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</si>
  <si>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</si>
  <si>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</si>
  <si>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</si>
  <si>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</si>
  <si>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</si>
  <si>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</si>
  <si>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</si>
  <si>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</si>
  <si>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</si>
  <si>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</si>
  <si>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</si>
  <si>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</si>
  <si>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</si>
  <si>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</si>
  <si>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</si>
  <si>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</si>
  <si>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</si>
  <si>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</si>
  <si>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</si>
  <si>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</si>
  <si>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</si>
  <si>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</si>
  <si>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</si>
  <si>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</si>
  <si>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</si>
  <si>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</si>
  <si>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</si>
  <si>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</si>
  <si>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</si>
  <si>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</si>
  <si>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</si>
  <si>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</si>
  <si>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</si>
  <si>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</si>
  <si>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</si>
  <si>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</si>
  <si>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</si>
  <si>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</si>
  <si>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</si>
  <si>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</si>
  <si>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</si>
  <si>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</si>
  <si>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</si>
  <si>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</si>
  <si>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</si>
  <si>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</si>
  <si>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</si>
  <si>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</si>
  <si>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</si>
  <si>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</si>
  <si>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</si>
  <si>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</si>
  <si>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</si>
  <si>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</si>
  <si>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</si>
  <si>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</si>
  <si>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</si>
  <si>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</si>
  <si>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</si>
  <si>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</si>
  <si>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</si>
  <si>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</si>
  <si>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</si>
  <si>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</si>
  <si>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</si>
  <si>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</si>
  <si>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</si>
  <si>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</si>
  <si>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</si>
  <si>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</si>
  <si>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</si>
  <si>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</si>
  <si>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</si>
  <si>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</si>
  <si>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</si>
  <si>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</si>
  <si>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</si>
  <si>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</si>
  <si>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</si>
  <si>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</si>
  <si>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</si>
  <si>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</si>
  <si>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</si>
  <si>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</si>
  <si>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</si>
  <si>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</si>
  <si>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</si>
  <si>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</si>
  <si>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</si>
  <si>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</si>
  <si>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</si>
  <si>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</si>
  <si>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</si>
  <si>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</si>
  <si>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</si>
  <si>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</si>
  <si>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</si>
  <si>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</si>
  <si>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</si>
  <si>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</si>
  <si>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</si>
  <si>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</si>
  <si>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</si>
  <si>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</si>
  <si>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</si>
  <si>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</si>
  <si>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</si>
  <si>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</si>
  <si>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</si>
  <si>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</si>
  <si>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</si>
  <si>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</si>
  <si>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</si>
  <si>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</si>
  <si>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</si>
  <si>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</si>
  <si>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</si>
  <si>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</si>
  <si>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</si>
  <si>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</si>
  <si>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</si>
  <si>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</si>
  <si>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</si>
  <si>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</si>
  <si>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</si>
  <si>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</si>
  <si>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</si>
  <si>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</si>
  <si>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</si>
  <si>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</si>
  <si>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</si>
  <si>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</si>
  <si>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</si>
  <si>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</si>
  <si>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</si>
  <si>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</si>
  <si>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</si>
  <si>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</si>
  <si>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</si>
  <si>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</si>
  <si>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</si>
  <si>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</si>
  <si>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</si>
  <si>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</si>
  <si>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</si>
  <si>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</si>
  <si>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</si>
  <si>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</si>
  <si>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</si>
  <si>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</si>
  <si>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</si>
  <si>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</si>
  <si>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</si>
  <si>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</si>
  <si>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</si>
  <si>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</si>
  <si>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</si>
  <si>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</si>
  <si>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</si>
  <si>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</si>
  <si>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</si>
  <si>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</si>
  <si>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</si>
  <si>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</si>
  <si>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</si>
  <si>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</si>
  <si>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</si>
  <si>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</si>
  <si>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</si>
  <si>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</si>
  <si>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</si>
  <si>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</si>
  <si>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</si>
  <si>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</si>
  <si>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</si>
  <si>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</si>
  <si>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</si>
  <si>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</si>
  <si>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</si>
  <si>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</si>
  <si>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</si>
  <si>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</si>
  <si>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</si>
  <si>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</si>
  <si>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</si>
  <si>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</si>
  <si>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</si>
  <si>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</si>
  <si>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</si>
  <si>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</si>
  <si>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</si>
  <si>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</si>
  <si>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</si>
  <si>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</si>
  <si>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</si>
  <si>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</si>
  <si>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</si>
  <si>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</si>
  <si>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</si>
  <si>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</si>
  <si>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</si>
  <si>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</si>
  <si>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</si>
  <si>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</si>
  <si>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</si>
  <si>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</si>
  <si>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</si>
  <si>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</si>
  <si>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</si>
  <si>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</si>
  <si>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</si>
  <si>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</si>
  <si>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</si>
  <si>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</si>
  <si>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</si>
  <si>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</si>
  <si>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</si>
  <si>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</si>
  <si>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</si>
  <si>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</si>
  <si>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</si>
  <si>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</si>
  <si>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</si>
  <si>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</si>
  <si>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</si>
  <si>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</si>
  <si>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</si>
  <si>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</si>
  <si>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</si>
  <si>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</si>
  <si>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</si>
  <si>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</si>
  <si>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</si>
  <si>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</si>
  <si>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</si>
  <si>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</si>
  <si>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</si>
  <si>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</si>
  <si>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</si>
  <si>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</si>
  <si>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</si>
  <si>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</si>
  <si>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</si>
  <si>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</si>
  <si>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</si>
  <si>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</si>
  <si>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</si>
  <si>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</si>
  <si>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</si>
  <si>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</si>
  <si>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</si>
  <si>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</si>
  <si>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</si>
  <si>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</si>
  <si>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</si>
  <si>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</si>
  <si>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</si>
  <si>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</si>
  <si>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</si>
  <si>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</si>
  <si>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</si>
  <si>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</si>
  <si>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</si>
  <si>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</si>
  <si>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</si>
  <si>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</si>
  <si>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</si>
  <si>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</si>
  <si>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</si>
  <si>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</si>
  <si>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</si>
  <si>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</si>
  <si>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</si>
  <si>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</si>
  <si>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</si>
  <si>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</si>
  <si>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</si>
  <si>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</si>
  <si>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</si>
  <si>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</si>
  <si>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</si>
  <si>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</si>
  <si>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</si>
  <si>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</si>
  <si>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</si>
  <si>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</si>
  <si>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</si>
  <si>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</si>
  <si>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</si>
  <si>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</si>
  <si>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</si>
  <si>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</si>
  <si>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</si>
  <si>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</si>
  <si>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</si>
  <si>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</si>
  <si>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</si>
  <si>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</si>
  <si>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</si>
  <si>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</si>
  <si>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</si>
  <si>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</si>
  <si>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</si>
  <si>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</si>
  <si>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</si>
  <si>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</si>
  <si>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</si>
  <si>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</si>
  <si>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</si>
  <si>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</si>
  <si>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</si>
  <si>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</si>
  <si>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</si>
  <si>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</si>
  <si>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</si>
  <si>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</si>
  <si>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</si>
  <si>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</si>
  <si>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</si>
  <si>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</si>
  <si>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</si>
  <si>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</si>
  <si>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</si>
  <si>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</si>
  <si>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</si>
  <si>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</si>
  <si>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</si>
  <si>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</si>
  <si>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</si>
  <si>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</si>
  <si>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</si>
  <si>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</si>
  <si>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</si>
  <si>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</si>
  <si>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</si>
  <si>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</si>
  <si>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</si>
  <si>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</si>
  <si>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</si>
  <si>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</si>
  <si>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</si>
  <si>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</si>
  <si>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</si>
  <si>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</si>
  <si>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</si>
  <si>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</si>
  <si>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</si>
  <si>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</si>
  <si>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</si>
  <si>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</si>
  <si>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</si>
  <si>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</si>
  <si>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</si>
  <si>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</si>
  <si>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</si>
  <si>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</si>
  <si>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</si>
  <si>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</si>
  <si>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</si>
  <si>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</si>
  <si>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</si>
  <si>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</si>
  <si>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</si>
  <si>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</si>
  <si>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</si>
  <si>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</si>
  <si>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</si>
  <si>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</si>
  <si>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</si>
  <si>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</si>
  <si>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</si>
  <si>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</si>
  <si>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</si>
  <si>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</si>
  <si>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</si>
  <si>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</si>
  <si>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</si>
  <si>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</si>
  <si>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</si>
  <si>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</si>
  <si>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</si>
  <si>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</si>
  <si>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</si>
  <si>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</si>
  <si>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</si>
  <si>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</si>
  <si>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</si>
  <si>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</si>
  <si>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</si>
  <si>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</si>
  <si>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</si>
  <si>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</si>
  <si>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</si>
  <si>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</si>
  <si>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</si>
  <si>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</si>
  <si>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</si>
  <si>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</si>
  <si>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</si>
  <si>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</si>
  <si>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</si>
  <si>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</si>
  <si>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</si>
  <si>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</si>
  <si>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</si>
  <si>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</si>
  <si>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</si>
  <si>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</si>
  <si>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</si>
  <si>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</si>
  <si>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</si>
  <si>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</si>
  <si>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</si>
  <si>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</si>
  <si>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</si>
  <si>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</si>
  <si>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</si>
  <si>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</si>
  <si>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</si>
  <si>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</si>
  <si>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</si>
  <si>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</si>
  <si>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</si>
  <si>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</si>
  <si>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</si>
  <si>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</si>
  <si>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</si>
  <si>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</si>
  <si>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</si>
  <si>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</si>
  <si>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</si>
  <si>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</si>
  <si>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</si>
  <si>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</si>
  <si>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</si>
  <si>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</si>
  <si>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</si>
  <si>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</si>
  <si>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</si>
  <si>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</si>
  <si>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</si>
  <si>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</si>
  <si>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</si>
  <si>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</si>
  <si>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</si>
  <si>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</si>
  <si>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</si>
  <si>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</si>
  <si>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</si>
  <si>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</si>
  <si>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</si>
  <si>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</si>
  <si>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</si>
  <si>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</si>
  <si>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</si>
  <si>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</si>
  <si>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</si>
  <si>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</si>
  <si>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</si>
  <si>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</si>
  <si>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</si>
  <si>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</si>
  <si>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</si>
  <si>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</si>
  <si>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</si>
  <si>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</si>
  <si>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</si>
  <si>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</si>
  <si>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</si>
  <si>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</si>
  <si>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</si>
  <si>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</si>
  <si>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</si>
  <si>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</si>
  <si>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</si>
  <si>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</si>
  <si>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</si>
  <si>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</si>
  <si>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</si>
  <si>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</si>
  <si>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</si>
  <si>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</si>
  <si>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</si>
  <si>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</si>
  <si>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</si>
  <si>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</si>
  <si>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</si>
  <si>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</si>
  <si>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</si>
  <si>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</si>
  <si>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</si>
  <si>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</si>
  <si>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</si>
  <si>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</si>
  <si>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</si>
  <si>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</si>
  <si>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</si>
  <si>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</si>
  <si>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</si>
  <si>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</si>
  <si>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</si>
  <si>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</si>
  <si>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</si>
  <si>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</si>
  <si>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</si>
  <si>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</si>
  <si>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</si>
  <si>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</si>
  <si>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</si>
  <si>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</si>
  <si>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</si>
  <si>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</si>
  <si>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</si>
  <si>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</si>
  <si>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</si>
  <si>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</si>
  <si>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</si>
  <si>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</si>
  <si>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</si>
  <si>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</si>
  <si>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</si>
  <si>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</si>
  <si>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</si>
  <si>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</si>
  <si>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</si>
  <si>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</si>
  <si>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</si>
  <si>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</si>
  <si>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</si>
  <si>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</si>
  <si>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</si>
  <si>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</si>
  <si>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</si>
  <si>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</si>
  <si>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</si>
  <si>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</si>
  <si>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</si>
  <si>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</si>
  <si>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</si>
  <si>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</si>
  <si>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</si>
  <si>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</si>
  <si>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</si>
  <si>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</si>
  <si>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</si>
  <si>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</si>
  <si>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</si>
  <si>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</si>
  <si>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</si>
  <si>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</si>
  <si>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</si>
  <si>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</si>
  <si>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</si>
  <si>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</si>
  <si>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</si>
  <si>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</si>
  <si>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</si>
  <si>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</si>
  <si>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</si>
  <si>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</si>
  <si>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</si>
  <si>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</si>
  <si>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</si>
  <si>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</si>
  <si>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</si>
  <si>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</si>
  <si>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</si>
  <si>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</si>
  <si>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</si>
  <si>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</si>
  <si>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</si>
  <si>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</si>
  <si>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</si>
  <si>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</si>
  <si>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</si>
  <si>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</si>
  <si>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</si>
  <si>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</si>
  <si>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</si>
  <si>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</si>
  <si>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</si>
  <si>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</si>
  <si>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</si>
  <si>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</si>
  <si>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</si>
  <si>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</si>
  <si>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</si>
  <si>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</si>
  <si>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</si>
  <si>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</si>
  <si>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</si>
  <si>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</si>
  <si>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</si>
  <si>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</si>
  <si>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</si>
  <si>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</si>
  <si>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</si>
  <si>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</si>
  <si>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</si>
  <si>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</si>
  <si>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</si>
  <si>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</si>
  <si>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</si>
  <si>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</si>
  <si>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</si>
  <si>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</si>
  <si>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</si>
  <si>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</si>
  <si>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</si>
  <si>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</si>
  <si>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</si>
  <si>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</si>
  <si>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</si>
  <si>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</si>
  <si>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</si>
  <si>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</si>
  <si>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</si>
  <si>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</si>
  <si>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</si>
  <si>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</si>
  <si>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</si>
  <si>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</si>
  <si>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</si>
  <si>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</si>
  <si>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</si>
  <si>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</si>
  <si>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</si>
  <si>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</si>
  <si>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</si>
  <si>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</si>
  <si>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</si>
  <si>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</si>
  <si>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</si>
  <si>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</si>
  <si>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</si>
  <si>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</si>
  <si>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</si>
  <si>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</si>
  <si>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</si>
  <si>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</si>
  <si>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</si>
  <si>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</si>
  <si>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</si>
  <si>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</si>
  <si>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</si>
  <si>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</si>
  <si>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</si>
  <si>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</si>
  <si>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</si>
  <si>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</si>
  <si>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</si>
  <si>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</si>
  <si>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</si>
  <si>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</si>
  <si>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</si>
  <si>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</si>
  <si>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</si>
  <si>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</si>
  <si>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</si>
  <si>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</si>
  <si>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</si>
  <si>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</si>
  <si>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</si>
  <si>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</si>
  <si>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</si>
  <si>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</si>
  <si>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</si>
  <si>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</si>
  <si>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</si>
  <si>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</si>
  <si>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</si>
  <si>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</si>
  <si>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</si>
  <si>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</si>
  <si>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</si>
  <si>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</si>
  <si>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</si>
  <si>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</si>
  <si>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</si>
  <si>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</si>
  <si>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</si>
  <si>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</si>
  <si>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</si>
  <si>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</si>
  <si>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</si>
  <si>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</si>
  <si>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</si>
  <si>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</si>
  <si>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</si>
  <si>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</si>
  <si>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</si>
  <si>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</si>
  <si>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</si>
  <si>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</si>
  <si>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</si>
  <si>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</si>
  <si>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</si>
  <si>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</si>
  <si>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</si>
  <si>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</si>
  <si>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</si>
  <si>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</si>
  <si>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</si>
  <si>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</si>
  <si>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</si>
  <si>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</si>
  <si>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</si>
  <si>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</si>
  <si>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</si>
  <si>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</si>
  <si>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</si>
  <si>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</si>
  <si>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</si>
  <si>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</si>
  <si>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</si>
  <si>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</si>
  <si>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</si>
  <si>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</si>
  <si>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</si>
  <si>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</si>
  <si>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</si>
  <si>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</si>
  <si>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</si>
  <si>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</si>
  <si>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</si>
  <si>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</si>
  <si>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</si>
  <si>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</si>
  <si>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</si>
  <si>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</si>
  <si>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</si>
  <si>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</si>
  <si>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</si>
  <si>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</si>
  <si>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</si>
  <si>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</si>
  <si>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</si>
  <si>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</si>
  <si>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</si>
  <si>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</si>
  <si>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</si>
  <si>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</si>
  <si>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</si>
  <si>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</si>
  <si>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</si>
  <si>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</si>
  <si>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</si>
  <si>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</si>
  <si>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</si>
  <si>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</si>
  <si>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</si>
  <si>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</si>
  <si>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</si>
  <si>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</si>
  <si>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</si>
  <si>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</si>
  <si>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</si>
  <si>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</si>
  <si>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</si>
  <si>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</si>
  <si>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</si>
  <si>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</si>
  <si>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</si>
  <si>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</si>
  <si>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</si>
  <si>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</si>
  <si>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</si>
  <si>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</si>
  <si>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</si>
  <si>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</si>
  <si>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</si>
  <si>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</si>
  <si>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</si>
  <si>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</si>
  <si>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</si>
  <si>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</si>
  <si>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</si>
  <si>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</si>
  <si>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</si>
  <si>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</si>
  <si>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</si>
  <si>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</si>
  <si>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</si>
  <si>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</si>
  <si>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</si>
  <si>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</si>
  <si>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</si>
  <si>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</si>
  <si>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</si>
  <si>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</si>
  <si>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</si>
  <si>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</si>
  <si>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</si>
  <si>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</si>
  <si>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</si>
  <si>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</si>
  <si>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</si>
  <si>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</si>
  <si>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</si>
  <si>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</si>
  <si>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</si>
  <si>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</si>
  <si>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</si>
  <si>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</si>
  <si>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</si>
  <si>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</si>
  <si>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</si>
  <si>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</si>
  <si>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</si>
  <si>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</si>
  <si>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</si>
  <si>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</si>
  <si>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</si>
  <si>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</si>
  <si>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</si>
  <si>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</si>
  <si>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</si>
  <si>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</si>
  <si>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</si>
  <si>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</si>
  <si>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</si>
  <si>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</si>
  <si>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</si>
  <si>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</si>
  <si>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</si>
  <si>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</si>
  <si>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</si>
  <si>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</si>
  <si>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</si>
  <si>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</si>
  <si>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</si>
  <si>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</si>
  <si>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</si>
  <si>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</si>
  <si>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</si>
  <si>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</si>
  <si>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</si>
  <si>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</si>
  <si>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</si>
  <si>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</si>
  <si>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</si>
  <si>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</si>
  <si>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</si>
  <si>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</si>
  <si>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</si>
  <si>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</si>
  <si>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</si>
  <si>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</si>
  <si>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</si>
  <si>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</si>
  <si>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</si>
  <si>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</si>
  <si>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</si>
  <si>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</si>
  <si>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</si>
  <si>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</si>
  <si>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</si>
  <si>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</si>
  <si>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</si>
  <si>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</si>
  <si>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</si>
  <si>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</si>
  <si>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</si>
  <si>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</si>
  <si>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</si>
  <si>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</si>
  <si>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</si>
  <si>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</si>
  <si>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</si>
  <si>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</si>
  <si>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</si>
  <si>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</si>
  <si>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</si>
  <si>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</si>
  <si>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</si>
  <si>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</si>
  <si>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</si>
  <si>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</si>
  <si>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</si>
  <si>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</si>
  <si>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</si>
  <si>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</si>
  <si>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</si>
  <si>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</si>
  <si>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</si>
  <si>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</si>
  <si>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</si>
  <si>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</si>
  <si>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</si>
  <si>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</si>
  <si>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</si>
  <si>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</si>
  <si>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</si>
  <si>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</si>
  <si>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</si>
  <si>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</si>
  <si>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</si>
  <si>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</si>
  <si>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</si>
  <si>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</si>
  <si>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</si>
  <si>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</si>
  <si>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</si>
  <si>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</si>
  <si>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</si>
  <si>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</si>
  <si>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</si>
  <si>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</si>
  <si>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</si>
  <si>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</si>
  <si>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</si>
  <si>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</si>
  <si>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</si>
  <si>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</si>
  <si>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</si>
  <si>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</si>
  <si>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</si>
  <si>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</si>
  <si>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</si>
  <si>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</si>
  <si>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</si>
  <si>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</si>
  <si>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</si>
  <si>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</si>
  <si>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</si>
  <si>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</si>
  <si>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</si>
  <si>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</si>
  <si>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</si>
  <si>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</si>
  <si>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</si>
  <si>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</si>
  <si>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</si>
  <si>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</si>
  <si>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</si>
  <si>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</si>
  <si>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</si>
  <si>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</si>
  <si>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</si>
  <si>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</si>
  <si>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</si>
  <si>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</si>
  <si>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</si>
  <si>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</si>
  <si>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</si>
  <si>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</si>
  <si>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</si>
  <si>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</si>
  <si>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</si>
  <si>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</si>
  <si>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</si>
  <si>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</si>
  <si>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</si>
  <si>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</si>
  <si>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</si>
  <si>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</si>
  <si>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</si>
  <si>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</si>
  <si>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</si>
  <si>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</si>
  <si>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</si>
  <si>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</si>
  <si>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</si>
  <si>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</si>
  <si>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</si>
  <si>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</si>
  <si>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</si>
  <si>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</si>
  <si>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</si>
  <si>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</si>
  <si>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</si>
  <si>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</si>
  <si>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</si>
  <si>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</si>
  <si>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</si>
  <si>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</si>
  <si>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</si>
  <si>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</si>
  <si>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</si>
  <si>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</si>
  <si>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</si>
  <si>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</si>
  <si>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</si>
  <si>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</si>
  <si>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</si>
  <si>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</si>
  <si>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</si>
  <si>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</si>
  <si>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</si>
  <si>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</si>
  <si>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</si>
  <si>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</si>
  <si>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</si>
  <si>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</si>
  <si>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</si>
  <si>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</si>
  <si>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</si>
  <si>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</si>
  <si>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</si>
  <si>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</si>
  <si>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</si>
  <si>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</si>
  <si>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</si>
  <si>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</si>
  <si>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</si>
  <si>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</si>
  <si>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</si>
  <si>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</si>
  <si>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</si>
  <si>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</si>
  <si>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</si>
  <si>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</si>
  <si>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</si>
  <si>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</si>
  <si>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</si>
  <si>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</si>
  <si>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</si>
  <si>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</si>
  <si>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</si>
  <si>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</si>
  <si>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</si>
  <si>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</si>
  <si>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</si>
  <si>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</si>
  <si>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</si>
  <si>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</si>
  <si>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</si>
  <si>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</si>
  <si>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</si>
  <si>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</si>
  <si>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</si>
  <si>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</si>
  <si>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</si>
  <si>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</si>
  <si>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</si>
  <si>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</si>
  <si>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</si>
  <si>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</si>
  <si>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</si>
  <si>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</si>
  <si>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</si>
  <si>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</si>
  <si>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</si>
  <si>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</si>
  <si>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</si>
  <si>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</si>
  <si>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</si>
  <si>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</si>
  <si>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</si>
  <si>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</si>
  <si>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</si>
  <si>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</si>
  <si>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</si>
  <si>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</si>
  <si>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</si>
  <si>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</si>
  <si>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</si>
  <si>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</si>
  <si>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</si>
  <si>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</si>
  <si>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</si>
  <si>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</si>
  <si>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</si>
  <si>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</si>
  <si>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</si>
  <si>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</si>
  <si>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</si>
  <si>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</si>
  <si>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</si>
  <si>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</si>
  <si>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</si>
  <si>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</si>
  <si>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</si>
  <si>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</si>
  <si>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</si>
  <si>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</si>
  <si>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</si>
  <si>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</si>
  <si>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</si>
  <si>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</si>
  <si>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</si>
  <si>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</si>
  <si>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</si>
  <si>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</si>
  <si>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</si>
  <si>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</si>
  <si>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</si>
  <si>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</si>
  <si>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</si>
  <si>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</si>
  <si>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</si>
  <si>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</si>
  <si>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</si>
  <si>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</si>
  <si>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</si>
  <si>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</si>
  <si>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</si>
  <si>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</si>
  <si>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</si>
  <si>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</si>
  <si>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</si>
  <si>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</si>
  <si>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</si>
  <si>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</si>
  <si>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</si>
  <si>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</si>
  <si>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</si>
  <si>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</si>
  <si>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</si>
  <si>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</si>
  <si>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</si>
  <si>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</si>
  <si>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</si>
  <si>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</si>
  <si>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</si>
  <si>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</si>
  <si>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</si>
  <si>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</si>
  <si>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</si>
  <si>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</si>
  <si>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</si>
  <si>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</si>
  <si>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</si>
  <si>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</si>
  <si>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</si>
  <si>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</si>
  <si>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</si>
  <si>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</si>
  <si>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</si>
  <si>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</si>
  <si>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</si>
  <si>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</si>
  <si>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</si>
  <si>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</si>
  <si>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</si>
  <si>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</si>
  <si>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</si>
  <si>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</si>
  <si>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</si>
  <si>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</si>
  <si>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</si>
  <si>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</si>
  <si>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</si>
  <si>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</si>
  <si>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</si>
  <si>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</si>
  <si>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</si>
  <si>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</si>
  <si>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</si>
  <si>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</si>
  <si>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</si>
  <si>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</si>
  <si>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</si>
  <si>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</si>
  <si>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</si>
  <si>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</si>
  <si>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</si>
  <si>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</si>
  <si>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</si>
  <si>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</si>
  <si>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</si>
  <si>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</si>
  <si>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</si>
  <si>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</si>
  <si>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</si>
  <si>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</si>
  <si>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</si>
  <si>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</si>
  <si>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</si>
  <si>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</si>
  <si>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</si>
  <si>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</si>
  <si>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</si>
  <si>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</si>
  <si>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</si>
  <si>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</si>
  <si>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</si>
  <si>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</si>
  <si>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</si>
  <si>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</si>
  <si>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</si>
  <si>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</si>
  <si>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</si>
  <si>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</si>
  <si>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</si>
  <si>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</si>
  <si>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</si>
  <si>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</si>
  <si>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</si>
  <si>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</si>
  <si>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</si>
  <si>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</si>
  <si>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</si>
  <si>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</si>
  <si>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</si>
  <si>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</si>
  <si>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</si>
  <si>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</si>
  <si>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</si>
  <si>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</si>
  <si>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</si>
  <si>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</si>
  <si>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</si>
  <si>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</si>
  <si>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</si>
  <si>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</si>
  <si>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</si>
  <si>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</si>
  <si>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</si>
  <si>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</si>
  <si>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</si>
  <si>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</si>
  <si>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</si>
  <si>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</si>
  <si>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</si>
  <si>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</si>
  <si>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</si>
  <si>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</si>
  <si>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</si>
  <si>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</si>
  <si>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</si>
  <si>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</si>
  <si>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</si>
  <si>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</si>
  <si>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</si>
  <si>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</si>
  <si>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</si>
  <si>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</si>
  <si>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</si>
  <si>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</si>
  <si>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</si>
  <si>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</si>
  <si>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</si>
  <si>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</si>
  <si>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</si>
  <si>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</si>
  <si>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</si>
  <si>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</si>
  <si>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</si>
  <si>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</si>
  <si>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</si>
  <si>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</si>
  <si>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</si>
  <si>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</si>
  <si>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</si>
  <si>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</si>
  <si>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</si>
  <si>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</si>
  <si>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</si>
  <si>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</si>
  <si>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</si>
  <si>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</si>
  <si>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</si>
  <si>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</si>
  <si>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</si>
  <si>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</si>
  <si>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</si>
  <si>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</si>
  <si>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</si>
  <si>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</si>
  <si>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</si>
  <si>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</si>
  <si>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</si>
  <si>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</si>
  <si>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</si>
  <si>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</si>
  <si>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</si>
  <si>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</si>
  <si>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</si>
  <si>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</si>
  <si>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</si>
  <si>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</si>
  <si>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</si>
  <si>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</si>
  <si>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</si>
  <si>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</si>
  <si>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</si>
  <si>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</si>
  <si>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</si>
  <si>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</si>
  <si>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</si>
  <si>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</si>
  <si>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</si>
  <si>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</si>
  <si>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</si>
  <si>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</si>
  <si>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</si>
  <si>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</si>
  <si>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</si>
  <si>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</si>
  <si>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</si>
  <si>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</si>
  <si>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</si>
  <si>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</si>
  <si>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</si>
  <si>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</si>
  <si>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</si>
  <si>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</si>
  <si>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</si>
  <si>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</si>
  <si>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</si>
  <si>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</si>
  <si>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</si>
  <si>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</si>
  <si>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</si>
  <si>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</si>
  <si>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</si>
  <si>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</si>
  <si>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</si>
  <si>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</si>
  <si>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</si>
  <si>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</si>
  <si>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</si>
  <si>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</si>
  <si>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</si>
  <si>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</si>
  <si>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</si>
  <si>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</si>
  <si>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</si>
  <si>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</si>
  <si>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</si>
  <si>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</si>
  <si>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</si>
  <si>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</si>
  <si>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</si>
  <si>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</si>
  <si>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</si>
  <si>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</si>
  <si>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</si>
  <si>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</si>
  <si>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</si>
  <si>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</si>
  <si>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</si>
  <si>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</si>
  <si>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</si>
  <si>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</si>
  <si>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</si>
  <si>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</si>
  <si>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</si>
  <si>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</si>
  <si>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</si>
  <si>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</si>
  <si>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</si>
  <si>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</si>
  <si>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</si>
  <si>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</si>
  <si>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</si>
  <si>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</si>
  <si>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</si>
  <si>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</si>
  <si>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</si>
  <si>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</si>
  <si>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</si>
  <si>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</si>
  <si>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</si>
  <si>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</si>
  <si>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</si>
  <si>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</si>
  <si>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</si>
  <si>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</si>
  <si>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</si>
  <si>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</si>
  <si>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</si>
  <si>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</si>
  <si>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</si>
  <si>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</si>
  <si>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</si>
  <si>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</si>
  <si>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</si>
  <si>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</si>
  <si>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</si>
  <si>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</si>
  <si>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</si>
  <si>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</si>
  <si>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</si>
  <si>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</si>
  <si>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</si>
  <si>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</si>
  <si>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</si>
  <si>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</si>
  <si>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</si>
  <si>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</si>
  <si>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</si>
  <si>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</si>
  <si>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</si>
  <si>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</si>
  <si>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</si>
  <si>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</si>
  <si>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</si>
  <si>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</si>
  <si>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</si>
  <si>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</si>
  <si>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</si>
  <si>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</si>
  <si>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</si>
  <si>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</si>
  <si>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</si>
  <si>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</si>
  <si>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</si>
  <si>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</si>
  <si>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</si>
  <si>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</si>
  <si>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</si>
  <si>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</si>
  <si>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</si>
  <si>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</si>
  <si>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</si>
  <si>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</si>
  <si>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</si>
  <si>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</si>
  <si>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</si>
  <si>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</si>
  <si>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</si>
  <si>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</si>
  <si>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</si>
  <si>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</si>
  <si>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</si>
  <si>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</si>
  <si>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</si>
  <si>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</si>
  <si>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</si>
  <si>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</si>
  <si>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</si>
  <si>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</si>
  <si>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</si>
  <si>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</si>
  <si>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</si>
  <si>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</si>
  <si>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</si>
  <si>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</si>
  <si>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</si>
  <si>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</si>
  <si>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</si>
  <si>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</si>
  <si>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</si>
  <si>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</si>
  <si>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</si>
  <si>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</si>
  <si>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</si>
  <si>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</si>
  <si>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</si>
  <si>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</si>
  <si>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</si>
  <si>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</si>
  <si>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</si>
  <si>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</si>
  <si>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</si>
  <si>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</si>
  <si>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</si>
  <si>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</si>
  <si>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</si>
  <si>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</si>
  <si>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</si>
  <si>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</si>
  <si>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</si>
  <si>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</si>
  <si>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</si>
  <si>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</si>
  <si>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</si>
  <si>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</si>
  <si>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</si>
  <si>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</si>
  <si>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</si>
  <si>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</si>
  <si>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</si>
  <si>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</si>
  <si>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</si>
  <si>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</si>
  <si>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</si>
  <si>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</si>
  <si>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</si>
  <si>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</si>
  <si>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</si>
  <si>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</si>
  <si>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</si>
  <si>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</si>
  <si>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</si>
  <si>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</si>
  <si>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</si>
  <si>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</si>
  <si>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</si>
  <si>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</si>
  <si>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</si>
  <si>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</si>
  <si>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</si>
  <si>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</si>
  <si>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</si>
  <si>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</si>
  <si>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</si>
  <si>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</si>
  <si>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</si>
  <si>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</si>
  <si>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</si>
  <si>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</si>
  <si>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</si>
  <si>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</si>
  <si>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</si>
  <si>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</si>
  <si>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</si>
  <si>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</si>
  <si>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</si>
  <si>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</si>
  <si>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</si>
  <si>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</si>
  <si>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</si>
  <si>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</si>
  <si>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</si>
  <si>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</si>
  <si>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</si>
  <si>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</si>
  <si>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</si>
  <si>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</si>
  <si>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</si>
  <si>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</si>
  <si>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</si>
  <si>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</si>
  <si>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</si>
  <si>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</si>
  <si>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</si>
  <si>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</si>
  <si>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</si>
  <si>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</si>
  <si>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</si>
  <si>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</si>
  <si>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</si>
  <si>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</si>
  <si>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</si>
  <si>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</si>
  <si>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</si>
  <si>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</si>
  <si>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</si>
  <si>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</si>
  <si>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</si>
  <si>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</si>
  <si>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</si>
  <si>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</si>
  <si>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</si>
  <si>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</si>
  <si>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</si>
  <si>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</si>
  <si>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</si>
  <si>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</si>
  <si>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</si>
  <si>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</si>
  <si>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</si>
  <si>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</si>
  <si>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</si>
  <si>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</si>
  <si>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</si>
  <si>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</si>
  <si>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</si>
  <si>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</si>
  <si>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</si>
  <si>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</si>
  <si>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</si>
  <si>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</si>
  <si>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</si>
  <si>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</si>
  <si>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</si>
  <si>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</si>
  <si>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</si>
  <si>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</si>
  <si>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</si>
  <si>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</si>
  <si>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</si>
  <si>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</si>
  <si>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</si>
  <si>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</si>
  <si>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</si>
  <si>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</si>
  <si>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</si>
  <si>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</si>
  <si>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</si>
  <si>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</si>
  <si>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</si>
  <si>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</si>
  <si>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</si>
  <si>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</si>
  <si>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</si>
  <si>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</si>
  <si>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</si>
  <si>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</si>
  <si>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</si>
  <si>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</si>
  <si>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</si>
  <si>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</si>
  <si>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</si>
  <si>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</si>
  <si>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</si>
  <si>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</si>
  <si>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</si>
  <si>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</si>
  <si>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</si>
  <si>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</si>
  <si>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</si>
  <si>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</si>
  <si>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</si>
  <si>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</si>
  <si>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</si>
  <si>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</si>
  <si>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</si>
  <si>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</si>
  <si>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</si>
  <si>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</si>
  <si>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</si>
  <si>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</si>
  <si>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</si>
  <si>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</si>
  <si>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</si>
  <si>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</si>
  <si>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</si>
  <si>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</si>
  <si>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</si>
  <si>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</si>
  <si>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</si>
  <si>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</si>
  <si>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</si>
  <si>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</si>
  <si>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</si>
  <si>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</si>
  <si>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</si>
  <si>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</si>
  <si>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</si>
  <si>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</si>
  <si>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</si>
  <si>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</si>
  <si>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</si>
  <si>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</si>
  <si>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</si>
  <si>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</si>
  <si>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</si>
  <si>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</si>
  <si>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</si>
  <si>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</si>
  <si>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</si>
  <si>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</si>
  <si>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</si>
  <si>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</si>
  <si>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</si>
  <si>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</si>
  <si>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</si>
  <si>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</si>
  <si>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</si>
  <si>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</si>
  <si>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</si>
  <si>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</si>
  <si>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</si>
  <si>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</si>
  <si>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</si>
  <si>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</si>
  <si>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</si>
  <si>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</si>
  <si>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</si>
  <si>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</si>
  <si>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</si>
  <si>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</si>
  <si>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</si>
  <si>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</si>
  <si>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</si>
  <si>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</si>
  <si>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</si>
  <si>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</si>
  <si>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</si>
  <si>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</si>
  <si>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</si>
  <si>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</si>
  <si>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</si>
  <si>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</si>
  <si>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</si>
  <si>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</si>
  <si>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</si>
  <si>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</si>
  <si>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</si>
  <si>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</si>
  <si>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</si>
  <si>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</si>
  <si>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</si>
  <si>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</si>
  <si>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</si>
  <si>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</si>
  <si>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</si>
  <si>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</si>
  <si>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</si>
  <si>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</si>
  <si>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</si>
  <si>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</si>
  <si>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</si>
  <si>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</si>
  <si>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</si>
  <si>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</si>
  <si>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</si>
  <si>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</si>
  <si>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</si>
  <si>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</si>
  <si>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</si>
  <si>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</si>
  <si>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</si>
  <si>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</si>
  <si>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</si>
  <si>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</si>
  <si>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</si>
  <si>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</si>
  <si>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</si>
  <si>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</si>
  <si>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</si>
  <si>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</si>
  <si>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</si>
  <si>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</si>
  <si>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</si>
  <si>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</si>
  <si>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</si>
  <si>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</si>
  <si>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</si>
  <si>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</si>
  <si>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</si>
  <si>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</si>
  <si>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</si>
  <si>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</si>
  <si>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</si>
  <si>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</si>
  <si>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</si>
  <si>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</si>
  <si>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</si>
  <si>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</si>
  <si>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</si>
  <si>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</si>
  <si>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</si>
  <si>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</si>
  <si>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</si>
  <si>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</si>
  <si>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</si>
  <si>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</si>
  <si>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</si>
  <si>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</si>
  <si>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</si>
  <si>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</si>
  <si>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</si>
  <si>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</si>
  <si>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</si>
  <si>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</si>
  <si>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</si>
  <si>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</si>
  <si>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</si>
  <si>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</si>
  <si>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</si>
  <si>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</si>
  <si>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</si>
  <si>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</si>
  <si>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</si>
  <si>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</si>
  <si>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</si>
  <si>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</si>
  <si>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</si>
  <si>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</si>
  <si>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</si>
  <si>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</si>
  <si>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</si>
  <si>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</si>
  <si>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</si>
  <si>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</si>
  <si>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</si>
  <si>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</si>
  <si>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</si>
  <si>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</si>
  <si>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</si>
  <si>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</si>
  <si>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</si>
  <si>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</si>
  <si>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</si>
  <si>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</si>
  <si>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</si>
  <si>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</si>
  <si>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</si>
  <si>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</si>
  <si>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</si>
  <si>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</si>
  <si>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</si>
  <si>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</si>
  <si>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</si>
  <si>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</si>
  <si>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</si>
  <si>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</si>
  <si>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</si>
  <si>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</si>
  <si>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</si>
  <si>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</si>
  <si>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</si>
  <si>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</si>
  <si>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</si>
  <si>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</si>
  <si>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</si>
  <si>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</si>
  <si>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</si>
  <si>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</si>
  <si>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</si>
  <si>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</si>
  <si>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</si>
  <si>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</si>
  <si>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</si>
  <si>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</si>
  <si>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</si>
  <si>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</si>
  <si>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</si>
  <si>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</si>
  <si>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</si>
  <si>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</si>
  <si>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</si>
  <si>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</si>
  <si>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</si>
  <si>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</si>
  <si>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</si>
  <si>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</si>
  <si>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</si>
  <si>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</si>
  <si>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</si>
  <si>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</si>
  <si>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</si>
  <si>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</si>
  <si>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</si>
  <si>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</si>
  <si>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</si>
  <si>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</si>
  <si>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</si>
  <si>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</si>
  <si>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</si>
  <si>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</si>
  <si>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</si>
  <si>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</si>
  <si>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</si>
  <si>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</si>
  <si>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</si>
  <si>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</si>
  <si>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</si>
  <si>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</si>
  <si>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</si>
  <si>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</si>
  <si>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</si>
  <si>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</si>
  <si>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</si>
  <si>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</si>
  <si>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</si>
  <si>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</si>
  <si>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</si>
  <si>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</si>
  <si>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</si>
  <si>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</si>
  <si>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</si>
  <si>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</si>
  <si>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</si>
  <si>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</si>
  <si>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</si>
  <si>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</si>
  <si>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</si>
  <si>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</si>
  <si>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</si>
  <si>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</si>
  <si>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</si>
  <si>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</si>
  <si>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</si>
  <si>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</si>
  <si>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</si>
  <si>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</si>
  <si>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</si>
  <si>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</si>
  <si>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</si>
  <si>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</si>
  <si>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</si>
  <si>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</si>
  <si>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</si>
  <si>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</si>
  <si>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</si>
  <si>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</si>
  <si>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</si>
  <si>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</si>
  <si>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</si>
  <si>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</si>
  <si>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</si>
  <si>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</si>
  <si>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</si>
  <si>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</si>
  <si>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</si>
  <si>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</si>
  <si>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</si>
  <si>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</si>
  <si>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</si>
  <si>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</si>
  <si>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</si>
  <si>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</si>
  <si>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</si>
  <si>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</si>
  <si>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</si>
  <si>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</si>
  <si>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</si>
  <si>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</si>
  <si>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</si>
  <si>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</si>
  <si>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</si>
  <si>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</si>
  <si>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</si>
  <si>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</si>
  <si>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</si>
  <si>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</si>
  <si>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</si>
  <si>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</si>
  <si>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</si>
  <si>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</si>
  <si>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</si>
  <si>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</si>
  <si>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</si>
  <si>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</si>
  <si>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</si>
  <si>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</si>
  <si>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</si>
  <si>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</si>
  <si>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</si>
  <si>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</si>
  <si>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</si>
  <si>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</si>
  <si>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</si>
  <si>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</si>
  <si>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</si>
  <si>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</si>
  <si>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</si>
  <si>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</si>
  <si>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</si>
  <si>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</si>
  <si>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</si>
  <si>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</si>
  <si>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</si>
  <si>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</si>
  <si>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</si>
  <si>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</si>
  <si>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</si>
  <si>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</si>
  <si>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</si>
  <si>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</si>
  <si>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</si>
  <si>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</si>
  <si>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</si>
  <si>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</si>
  <si>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</si>
  <si>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</si>
  <si>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</si>
  <si>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</si>
  <si>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</si>
  <si>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</si>
  <si>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</si>
  <si>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</si>
  <si>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</si>
  <si>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</si>
  <si>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</si>
  <si>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</si>
  <si>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</si>
  <si>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</si>
  <si>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</si>
  <si>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</si>
  <si>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</si>
  <si>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</si>
  <si>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</si>
  <si>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</si>
  <si>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</si>
  <si>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</si>
  <si>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</si>
  <si>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</si>
  <si>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</si>
  <si>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</si>
  <si>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</si>
  <si>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</si>
  <si>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</si>
  <si>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</si>
  <si>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</si>
  <si>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</si>
  <si>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</si>
  <si>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</si>
  <si>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</si>
  <si>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</si>
  <si>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</si>
  <si>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</si>
  <si>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</si>
  <si>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</si>
  <si>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</si>
  <si>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</si>
  <si>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</si>
  <si>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</si>
  <si>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</si>
  <si>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</si>
  <si>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</si>
  <si>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</si>
  <si>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</si>
  <si>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</si>
  <si>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</si>
  <si>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</si>
  <si>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</si>
  <si>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</si>
  <si>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</si>
  <si>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</si>
  <si>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</si>
  <si>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</si>
  <si>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</si>
  <si>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</si>
  <si>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</si>
  <si>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</si>
  <si>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</si>
  <si>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</si>
  <si>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</si>
  <si>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</si>
  <si>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</si>
  <si>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</si>
  <si>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</si>
  <si>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</si>
  <si>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</si>
  <si>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</si>
  <si>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</si>
  <si>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</si>
  <si>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</si>
  <si>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</si>
  <si>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</si>
  <si>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</si>
  <si>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</si>
  <si>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</si>
  <si>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</si>
  <si>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</si>
  <si>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</si>
  <si>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</si>
  <si>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</si>
  <si>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</si>
  <si>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</si>
  <si>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</si>
  <si>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</si>
  <si>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</si>
  <si>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</si>
  <si>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</si>
  <si>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</si>
  <si>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</si>
  <si>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</si>
  <si>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</si>
  <si>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</si>
  <si>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</si>
  <si>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</si>
  <si>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</si>
  <si>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</si>
  <si>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</si>
  <si>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</si>
  <si>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</si>
  <si>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</si>
  <si>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</si>
  <si>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</si>
  <si>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</si>
  <si>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</si>
  <si>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</si>
  <si>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</si>
  <si>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</si>
  <si>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</si>
  <si>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</si>
  <si>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</si>
  <si>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</si>
  <si>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</si>
  <si>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</si>
  <si>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</si>
  <si>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</si>
  <si>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</si>
  <si>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</si>
  <si>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</si>
  <si>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</si>
  <si>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</si>
  <si>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</si>
  <si>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</si>
  <si>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</si>
  <si>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</si>
  <si>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</si>
  <si>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</si>
  <si>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</si>
  <si>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</si>
  <si>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</si>
  <si>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</si>
  <si>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</si>
  <si>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</si>
  <si>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</si>
  <si>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</si>
  <si>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</si>
  <si>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</si>
  <si>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</si>
  <si>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</si>
  <si>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</si>
  <si>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</si>
  <si>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</si>
  <si>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</si>
  <si>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</si>
  <si>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</si>
  <si>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</si>
  <si>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</si>
  <si>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</si>
  <si>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</si>
  <si>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</si>
  <si>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</si>
  <si>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</si>
  <si>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</si>
  <si>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</si>
  <si>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</si>
  <si>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</si>
  <si>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</si>
  <si>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</si>
  <si>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</si>
  <si>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</si>
  <si>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</si>
  <si>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</si>
  <si>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</si>
  <si>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</si>
  <si>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</si>
  <si>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</si>
  <si>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</si>
  <si>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</si>
  <si>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</si>
  <si>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</si>
  <si>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</si>
  <si>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</si>
  <si>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</si>
  <si>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</si>
  <si>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</si>
  <si>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</si>
  <si>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</si>
  <si>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</si>
  <si>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</si>
  <si>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</si>
  <si>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</si>
  <si>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</si>
  <si>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</si>
  <si>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</si>
  <si>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</si>
  <si>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</si>
  <si>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</si>
  <si>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</si>
  <si>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</si>
  <si>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</si>
  <si>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</si>
  <si>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</si>
  <si>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</si>
  <si>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</si>
  <si>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</si>
  <si>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</si>
  <si>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</si>
  <si>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</si>
  <si>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</si>
  <si>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</si>
  <si>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</si>
  <si>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</si>
  <si>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</si>
  <si>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</si>
  <si>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</si>
  <si>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</si>
  <si>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</si>
  <si>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</si>
  <si>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</si>
  <si>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</si>
  <si>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</si>
  <si>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</si>
  <si>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</si>
  <si>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</si>
  <si>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</si>
  <si>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</si>
  <si>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</si>
  <si>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</si>
  <si>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</si>
  <si>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</si>
  <si>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</si>
  <si>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</si>
  <si>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</si>
  <si>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</si>
  <si>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</si>
  <si>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</si>
  <si>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</si>
  <si>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</si>
  <si>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</si>
  <si>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</si>
  <si>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</si>
  <si>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</si>
  <si>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</si>
  <si>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</si>
  <si>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</si>
  <si>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</si>
  <si>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</si>
  <si>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</si>
  <si>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</si>
  <si>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</si>
  <si>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</si>
  <si>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</si>
  <si>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</si>
  <si>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</si>
  <si>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</si>
  <si>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</si>
  <si>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</si>
  <si>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</si>
  <si>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</si>
  <si>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</si>
  <si>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</si>
  <si>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</si>
  <si>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</si>
  <si>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</si>
  <si>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</si>
  <si>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</si>
  <si>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</si>
  <si>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</si>
  <si>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</si>
  <si>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</si>
  <si>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</si>
  <si>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</si>
  <si>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</si>
  <si>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</si>
  <si>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</si>
  <si>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</si>
  <si>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</si>
  <si>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</si>
  <si>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</si>
  <si>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</si>
  <si>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</si>
  <si>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</si>
  <si>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</si>
  <si>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</si>
  <si>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</si>
  <si>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</si>
  <si>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</si>
  <si>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</si>
  <si>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</si>
  <si>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</si>
  <si>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</si>
  <si>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</si>
  <si>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</si>
  <si>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</si>
  <si>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</si>
  <si>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</si>
  <si>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</si>
  <si>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</si>
  <si>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</si>
  <si>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</si>
  <si>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</si>
  <si>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</si>
  <si>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</si>
  <si>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</si>
  <si>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</si>
  <si>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</si>
  <si>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</si>
  <si>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</si>
  <si>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</si>
  <si>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</si>
  <si>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</si>
  <si>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</si>
  <si>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</si>
  <si>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</si>
  <si>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</si>
  <si>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</si>
  <si>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</si>
  <si>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</si>
  <si>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</si>
  <si>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</si>
  <si>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</si>
  <si>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</si>
  <si>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</si>
  <si>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</si>
  <si>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</si>
  <si>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</si>
  <si>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</si>
  <si>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</si>
  <si>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</si>
  <si>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</si>
  <si>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</si>
  <si>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</si>
  <si>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</si>
  <si>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</si>
  <si>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</si>
  <si>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</si>
  <si>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</si>
  <si>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</si>
  <si>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</si>
  <si>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</si>
  <si>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</si>
  <si>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</si>
  <si>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</si>
  <si>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</si>
  <si>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</si>
  <si>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</si>
  <si>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</si>
  <si>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</si>
  <si>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</si>
  <si>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</si>
  <si>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</si>
  <si>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</si>
  <si>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</si>
  <si>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</si>
  <si>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</si>
  <si>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</si>
  <si>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</si>
  <si>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</si>
  <si>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</si>
  <si>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</si>
  <si>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</si>
  <si>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</si>
  <si>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</si>
  <si>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</si>
  <si>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</si>
  <si>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</si>
  <si>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</si>
  <si>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</si>
  <si>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</si>
  <si>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</si>
  <si>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</si>
  <si>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</si>
  <si>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</si>
  <si>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</si>
  <si>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</si>
  <si>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</si>
  <si>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</si>
  <si>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</si>
  <si>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</si>
  <si>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</si>
  <si>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</si>
  <si>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</si>
  <si>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</si>
  <si>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</si>
  <si>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</si>
  <si>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</si>
  <si>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</si>
  <si>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</si>
  <si>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</si>
  <si>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</si>
  <si>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</si>
  <si>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</si>
  <si>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</si>
  <si>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</si>
  <si>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</si>
  <si>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</si>
  <si>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</si>
  <si>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</si>
  <si>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</si>
  <si>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</si>
  <si>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</si>
  <si>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</si>
  <si>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</si>
  <si>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</si>
  <si>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</si>
  <si>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</si>
  <si>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</si>
  <si>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</si>
  <si>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</si>
  <si>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</si>
  <si>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</si>
  <si>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</si>
  <si>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</si>
  <si>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</si>
  <si>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</si>
  <si>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</si>
  <si>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</si>
  <si>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</si>
  <si>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</si>
  <si>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</si>
  <si>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</si>
  <si>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</si>
  <si>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</si>
  <si>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</si>
  <si>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</si>
  <si>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</si>
  <si>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</si>
  <si>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</si>
  <si>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</si>
  <si>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</si>
  <si>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</si>
  <si>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</si>
  <si>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</si>
  <si>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</si>
  <si>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</si>
  <si>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</si>
  <si>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</si>
  <si>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</si>
  <si>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</si>
  <si>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</si>
  <si>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</si>
  <si>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</si>
  <si>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</si>
  <si>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</si>
  <si>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</si>
  <si>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</si>
  <si>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</si>
  <si>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</si>
  <si>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</si>
  <si>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</si>
  <si>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</si>
  <si>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</si>
  <si>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</si>
  <si>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</si>
  <si>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</si>
  <si>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</si>
  <si>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</si>
  <si>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</si>
  <si>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</si>
  <si>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</si>
  <si>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</si>
  <si>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</si>
  <si>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</si>
  <si>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</si>
  <si>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</si>
  <si>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</si>
  <si>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</si>
  <si>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</si>
  <si>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</si>
  <si>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</si>
  <si>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</si>
  <si>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</si>
  <si>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</si>
  <si>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</si>
  <si>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</si>
  <si>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</si>
  <si>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</si>
  <si>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</si>
  <si>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</si>
  <si>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</si>
  <si>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</si>
  <si>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</si>
  <si>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</si>
  <si>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</si>
  <si>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</si>
  <si>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</si>
  <si>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</si>
  <si>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</si>
  <si>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</si>
  <si>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</si>
  <si>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</si>
  <si>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</si>
  <si>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</si>
  <si>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</si>
  <si>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</si>
  <si>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</si>
  <si>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</si>
  <si>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</si>
  <si>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</si>
  <si>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</si>
  <si>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</si>
  <si>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</si>
  <si>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</si>
  <si>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</si>
  <si>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</si>
  <si>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</si>
  <si>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</si>
  <si>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</si>
  <si>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</si>
  <si>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</si>
  <si>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</si>
  <si>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</si>
  <si>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</si>
  <si>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</si>
  <si>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</si>
  <si>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</si>
  <si>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</si>
  <si>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</si>
  <si>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</si>
  <si>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</si>
  <si>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</si>
  <si>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</si>
  <si>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</si>
  <si>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</si>
  <si>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</si>
  <si>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</si>
  <si>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</si>
  <si>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</si>
  <si>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</si>
  <si>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</si>
  <si>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</si>
  <si>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</si>
  <si>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</si>
  <si>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</si>
  <si>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</si>
  <si>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</si>
  <si>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</si>
  <si>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</si>
  <si>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</si>
  <si>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</si>
  <si>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</si>
  <si>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</si>
  <si>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</si>
  <si>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</si>
  <si>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</si>
  <si>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</si>
  <si>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</si>
  <si>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</si>
  <si>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</si>
  <si>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</si>
  <si>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</si>
  <si>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</si>
  <si>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</si>
  <si>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</si>
  <si>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</si>
  <si>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</si>
  <si>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</si>
  <si>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</si>
  <si>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</si>
  <si>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</si>
  <si>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</si>
  <si>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</si>
  <si>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</si>
  <si>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</si>
  <si>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</si>
  <si>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</si>
  <si>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</si>
  <si>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</si>
  <si>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</si>
  <si>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</si>
  <si>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</si>
  <si>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</si>
  <si>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</si>
  <si>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</si>
  <si>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</si>
  <si>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</si>
  <si>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</si>
  <si>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</si>
  <si>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</si>
  <si>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</si>
  <si>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</si>
  <si>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</si>
  <si>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</si>
  <si>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</si>
  <si>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</si>
  <si>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</si>
  <si>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</si>
  <si>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</si>
  <si>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</si>
  <si>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</si>
  <si>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</si>
  <si>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</si>
  <si>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</si>
  <si>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</si>
  <si>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</si>
  <si>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</si>
  <si>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</si>
  <si>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</si>
  <si>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</si>
  <si>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</si>
  <si>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</si>
  <si>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</si>
  <si>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</si>
  <si>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</si>
  <si>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</si>
  <si>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</si>
  <si>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</si>
  <si>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</si>
  <si>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</si>
  <si>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</si>
  <si>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</si>
  <si>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</si>
  <si>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</si>
  <si>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</si>
  <si>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</si>
  <si>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</si>
  <si>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</si>
  <si>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</si>
  <si>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</si>
  <si>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</si>
  <si>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</si>
  <si>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</si>
  <si>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</si>
  <si>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</si>
  <si>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</si>
  <si>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</si>
  <si>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</si>
  <si>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</si>
  <si>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</si>
  <si>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</si>
  <si>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</si>
  <si>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</si>
  <si>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</si>
  <si>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</si>
  <si>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</si>
  <si>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</si>
  <si>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</si>
  <si>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</si>
  <si>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</si>
  <si>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</si>
  <si>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</si>
  <si>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</si>
  <si>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</si>
  <si>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</si>
  <si>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</si>
  <si>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</si>
  <si>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</si>
  <si>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</si>
  <si>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</si>
  <si>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</si>
  <si>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</si>
  <si>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</si>
  <si>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</si>
  <si>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</si>
  <si>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</si>
  <si>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</si>
  <si>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</si>
  <si>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</si>
  <si>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</si>
  <si>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</si>
  <si>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</si>
  <si>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</si>
  <si>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</si>
  <si>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</si>
  <si>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</si>
  <si>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</si>
  <si>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</si>
  <si>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</si>
  <si>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</si>
  <si>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</si>
  <si>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</si>
  <si>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</si>
  <si>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</si>
  <si>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</si>
  <si>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</si>
  <si>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</si>
  <si>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</si>
  <si>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</si>
  <si>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</si>
  <si>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</si>
  <si>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</si>
  <si>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</si>
  <si>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</si>
  <si>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</si>
  <si>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</si>
  <si>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</si>
  <si>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</si>
  <si>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</si>
  <si>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</si>
  <si>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</si>
  <si>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</si>
  <si>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</si>
  <si>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</si>
  <si>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</si>
  <si>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</si>
  <si>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</si>
  <si>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</si>
  <si>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</si>
  <si>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</si>
  <si>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</si>
  <si>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</si>
  <si>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</si>
  <si>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</si>
  <si>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</si>
  <si>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</si>
  <si>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</si>
  <si>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</si>
  <si>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</si>
  <si>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</si>
  <si>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</si>
  <si>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</si>
  <si>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</si>
  <si>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</si>
  <si>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</si>
  <si>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</si>
  <si>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</si>
  <si>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</si>
  <si>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</si>
  <si>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</si>
  <si>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</si>
  <si>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</si>
  <si>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</si>
  <si>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</si>
  <si>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</si>
  <si>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</si>
  <si>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</si>
  <si>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</si>
  <si>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</si>
  <si>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</si>
  <si>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</si>
  <si>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</si>
  <si>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</si>
  <si>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</si>
  <si>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</si>
  <si>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</si>
  <si>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</si>
  <si>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</si>
  <si>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</si>
  <si>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</si>
  <si>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</si>
  <si>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</si>
  <si>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</si>
  <si>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</si>
  <si>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</si>
  <si>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</si>
  <si>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</si>
  <si>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</si>
  <si>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</si>
  <si>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</si>
  <si>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</si>
  <si>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</si>
  <si>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</si>
  <si>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</si>
  <si>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</si>
  <si>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</si>
  <si>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</si>
  <si>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</si>
  <si>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</si>
  <si>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</si>
  <si>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</si>
  <si>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</si>
  <si>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</si>
  <si>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</si>
  <si>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</si>
  <si>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</si>
  <si>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</si>
  <si>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</si>
  <si>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</si>
  <si>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</si>
  <si>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</si>
  <si>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</si>
  <si>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</si>
  <si>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</si>
  <si>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</si>
  <si>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</si>
  <si>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</si>
  <si>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</si>
  <si>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</si>
  <si>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</si>
  <si>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</si>
  <si>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</si>
  <si>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</si>
  <si>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</si>
  <si>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</si>
  <si>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</si>
  <si>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</si>
  <si>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</si>
  <si>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</si>
  <si>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</si>
  <si>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</si>
  <si>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</si>
  <si>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</si>
  <si>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</si>
  <si>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</si>
  <si>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</si>
  <si>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</si>
  <si>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</si>
  <si>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</si>
  <si>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</si>
  <si>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</si>
  <si>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</si>
  <si>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</si>
  <si>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</si>
  <si>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</si>
  <si>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</si>
  <si>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</si>
  <si>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</si>
  <si>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</si>
  <si>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</si>
  <si>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</si>
  <si>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</si>
  <si>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</si>
  <si>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</si>
  <si>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</si>
  <si>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</si>
  <si>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</si>
  <si>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</si>
  <si>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</si>
  <si>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</si>
  <si>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</si>
  <si>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</si>
  <si>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</si>
  <si>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</si>
  <si>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</si>
  <si>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</si>
  <si>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</si>
  <si>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</si>
  <si>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</si>
  <si>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</si>
  <si>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</si>
  <si>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</si>
  <si>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</si>
  <si>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</si>
  <si>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</si>
  <si>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</si>
  <si>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</si>
  <si>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</si>
  <si>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</si>
  <si>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</si>
  <si>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</si>
  <si>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</si>
  <si>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</si>
  <si>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</si>
  <si>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</si>
  <si>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</si>
  <si>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</si>
  <si>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</si>
  <si>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</si>
  <si>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</si>
  <si>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</si>
  <si>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</si>
  <si>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</si>
  <si>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</si>
  <si>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</si>
  <si>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</si>
  <si>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</si>
  <si>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</si>
  <si>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</si>
  <si>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</si>
  <si>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</si>
  <si>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</si>
  <si>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</si>
  <si>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</si>
  <si>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</si>
  <si>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</si>
  <si>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</si>
  <si>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</si>
  <si>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</si>
  <si>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</si>
  <si>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</si>
  <si>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</si>
  <si>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</si>
  <si>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</si>
  <si>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</si>
  <si>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</si>
  <si>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</si>
  <si>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</si>
  <si>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</si>
  <si>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</si>
  <si>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</si>
  <si>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</si>
  <si>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</si>
  <si>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</si>
  <si>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</si>
  <si>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</si>
  <si>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</si>
  <si>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</si>
  <si>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</si>
  <si>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</si>
  <si>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</si>
  <si>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</si>
  <si>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</si>
  <si>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</si>
  <si>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</si>
  <si>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</si>
  <si>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</si>
  <si>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</si>
  <si>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</si>
  <si>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</si>
  <si>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</si>
  <si>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</si>
  <si>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</si>
  <si>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</si>
  <si>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</si>
  <si>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</si>
  <si>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</si>
  <si>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</si>
  <si>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</si>
  <si>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</si>
  <si>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</si>
  <si>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</si>
  <si>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</si>
  <si>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</si>
  <si>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</si>
  <si>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</si>
  <si>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</si>
  <si>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</si>
  <si>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</si>
  <si>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</si>
  <si>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</si>
  <si>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</si>
  <si>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</si>
  <si>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</si>
  <si>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</si>
  <si>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</si>
  <si>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</si>
  <si>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</si>
  <si>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</si>
  <si>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</si>
  <si>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</si>
  <si>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</si>
  <si>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</si>
  <si>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</si>
  <si>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</si>
  <si>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</si>
  <si>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</si>
  <si>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</si>
  <si>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</si>
  <si>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</si>
  <si>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</si>
  <si>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</si>
  <si>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</si>
  <si>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</si>
  <si>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</si>
  <si>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</si>
  <si>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</si>
  <si>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</si>
  <si>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</si>
  <si>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</si>
  <si>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</si>
  <si>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</si>
  <si>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</si>
  <si>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</si>
  <si>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</si>
  <si>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</si>
  <si>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</si>
  <si>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</si>
  <si>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</si>
  <si>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</si>
  <si>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</si>
  <si>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</si>
  <si>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</si>
  <si>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</si>
  <si>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</si>
  <si>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</si>
  <si>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</si>
  <si>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</si>
  <si>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</si>
  <si>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</si>
  <si>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</si>
  <si>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</si>
  <si>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</si>
  <si>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</si>
  <si>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</si>
  <si>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</si>
  <si>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</si>
  <si>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</si>
  <si>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</si>
  <si>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</si>
  <si>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</si>
  <si>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</si>
  <si>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</si>
  <si>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</si>
  <si>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</si>
  <si>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</si>
  <si>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</si>
  <si>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</si>
  <si>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</si>
  <si>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</si>
  <si>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</si>
  <si>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</si>
  <si>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</si>
  <si>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</si>
  <si>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</si>
  <si>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</si>
  <si>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</si>
  <si>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</si>
  <si>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</si>
  <si>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</si>
  <si>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</si>
  <si>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</si>
  <si>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</si>
  <si>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</si>
  <si>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</si>
  <si>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</si>
  <si>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</si>
  <si>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</si>
  <si>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</si>
  <si>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</si>
  <si>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</si>
  <si>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</si>
  <si>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</si>
  <si>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</si>
  <si>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</si>
  <si>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</si>
  <si>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</si>
  <si>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</si>
  <si>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</si>
  <si>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</si>
  <si>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</si>
  <si>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</si>
  <si>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</si>
  <si>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</si>
  <si>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</si>
  <si>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</si>
  <si>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</si>
  <si>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</si>
  <si>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</si>
  <si>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</si>
  <si>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</si>
  <si>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</si>
  <si>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</si>
  <si>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</si>
  <si>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</si>
  <si>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</si>
  <si>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</si>
  <si>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</si>
  <si>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</si>
  <si>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</si>
  <si>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</si>
  <si>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</si>
  <si>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</si>
  <si>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</si>
  <si>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</si>
  <si>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</si>
  <si>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</si>
  <si>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</si>
  <si>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</si>
  <si>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</si>
  <si>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</si>
  <si>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</si>
  <si>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</si>
  <si>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</si>
  <si>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</si>
  <si>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</si>
  <si>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</si>
  <si>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</si>
  <si>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</si>
  <si>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</si>
  <si>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</si>
  <si>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</si>
  <si>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</si>
  <si>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</si>
  <si>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</si>
  <si>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</si>
  <si>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</si>
  <si>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</si>
  <si>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</si>
  <si>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</si>
  <si>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</si>
  <si>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</si>
  <si>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</si>
  <si>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</si>
  <si>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</si>
  <si>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</si>
  <si>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</si>
  <si>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</si>
  <si>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</si>
  <si>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</si>
  <si>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</si>
  <si>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</si>
  <si>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</si>
  <si>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</si>
  <si>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</si>
  <si>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</si>
  <si>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</si>
  <si>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</si>
  <si>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</si>
  <si>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</si>
  <si>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</si>
  <si>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</si>
  <si>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</si>
  <si>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</si>
  <si>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</si>
  <si>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</si>
  <si>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</si>
  <si>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</si>
  <si>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</si>
  <si>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</si>
  <si>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</si>
  <si>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</si>
  <si>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</si>
  <si>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</si>
  <si>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</si>
  <si>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</si>
  <si>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</si>
  <si>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</si>
  <si>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</si>
  <si>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</si>
  <si>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</si>
  <si>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</si>
  <si>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</si>
  <si>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</si>
  <si>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</si>
  <si>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</si>
  <si>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</si>
  <si>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</si>
  <si>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</si>
  <si>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</si>
  <si>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</si>
  <si>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</si>
  <si>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</si>
  <si>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</si>
  <si>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</si>
  <si>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</si>
  <si>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</si>
  <si>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</si>
  <si>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</si>
  <si>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</si>
  <si>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</si>
  <si>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</si>
  <si>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</si>
  <si>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</si>
  <si>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</si>
  <si>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</si>
  <si>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</si>
  <si>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</si>
  <si>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</si>
  <si>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</si>
  <si>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</si>
  <si>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</si>
  <si>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</si>
  <si>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</si>
  <si>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</si>
  <si>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</si>
  <si>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</si>
  <si>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</si>
  <si>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</si>
  <si>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</si>
  <si>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</si>
  <si>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</si>
  <si>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</si>
  <si>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</si>
  <si>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</si>
  <si>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</si>
  <si>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</si>
  <si>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</si>
  <si>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</si>
  <si>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</si>
  <si>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</si>
  <si>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</si>
  <si>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</si>
  <si>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</si>
  <si>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</si>
  <si>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</si>
  <si>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</si>
  <si>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</si>
  <si>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</si>
  <si>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</si>
  <si>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</si>
  <si>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</si>
  <si>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</si>
  <si>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</si>
  <si>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</si>
  <si>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</si>
  <si>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</si>
  <si>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</si>
  <si>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</si>
  <si>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</si>
  <si>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</si>
  <si>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</si>
  <si>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</si>
  <si>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</si>
  <si>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</si>
  <si>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</si>
  <si>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</si>
  <si>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</si>
  <si>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</si>
  <si>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</si>
  <si>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</si>
  <si>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</si>
  <si>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</si>
  <si>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</si>
  <si>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</si>
  <si>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</si>
  <si>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</si>
  <si>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</si>
  <si>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</si>
  <si>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</si>
  <si>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</si>
  <si>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</si>
  <si>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</si>
  <si>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</si>
  <si>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</si>
  <si>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</si>
  <si>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</si>
  <si>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</si>
  <si>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</si>
  <si>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</si>
  <si>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</si>
  <si>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</si>
  <si>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</si>
  <si>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</si>
  <si>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</si>
  <si>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</si>
  <si>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</si>
  <si>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</si>
  <si>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</si>
  <si>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</si>
  <si>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</si>
  <si>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</si>
  <si>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</si>
  <si>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</si>
  <si>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</si>
  <si>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</si>
  <si>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</si>
  <si>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</si>
  <si>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</si>
  <si>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</si>
  <si>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</si>
  <si>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</si>
  <si>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</si>
  <si>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</si>
  <si>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</si>
  <si>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</si>
  <si>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</si>
  <si>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</si>
  <si>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</si>
  <si>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</si>
  <si>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</si>
  <si>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</si>
  <si>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</si>
  <si>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</si>
  <si>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</si>
  <si>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</si>
  <si>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</si>
  <si>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</si>
  <si>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</si>
  <si>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</si>
  <si>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</si>
  <si>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</si>
  <si>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</si>
  <si>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</si>
  <si>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</si>
  <si>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</si>
  <si>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</si>
  <si>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</si>
  <si>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</si>
  <si>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</si>
  <si>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</si>
  <si>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</si>
  <si>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</si>
  <si>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</si>
  <si>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</si>
  <si>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</si>
  <si>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</si>
  <si>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</si>
  <si>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</si>
  <si>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</si>
  <si>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</si>
  <si>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</si>
  <si>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</si>
  <si>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</si>
  <si>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</si>
  <si>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</si>
  <si>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</si>
  <si>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</si>
  <si>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</si>
  <si>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</si>
  <si>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</si>
  <si>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</si>
  <si>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</si>
  <si>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</si>
  <si>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</si>
  <si>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</si>
  <si>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</si>
  <si>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</si>
  <si>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</si>
  <si>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</si>
  <si>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</si>
  <si>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</si>
  <si>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</si>
  <si>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</si>
  <si>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</si>
  <si>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</si>
  <si>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</si>
  <si>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</si>
  <si>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</si>
  <si>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</si>
  <si>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</si>
  <si>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</si>
  <si>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</si>
  <si>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</si>
  <si>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</si>
  <si>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</si>
  <si>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</si>
  <si>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</si>
  <si>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</si>
  <si>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</si>
  <si>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</si>
  <si>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</si>
  <si>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</si>
  <si>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</si>
  <si>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</si>
  <si>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</si>
  <si>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</si>
  <si>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</si>
  <si>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</si>
  <si>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</si>
  <si>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</si>
  <si>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</si>
  <si>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</si>
  <si>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</si>
  <si>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</si>
  <si>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</si>
  <si>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</si>
  <si>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</si>
  <si>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</si>
  <si>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</si>
  <si>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</si>
  <si>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</si>
  <si>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</si>
  <si>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</si>
  <si>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</si>
  <si>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</si>
  <si>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</si>
  <si>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</si>
  <si>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</si>
  <si>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</si>
  <si>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</si>
  <si>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</si>
  <si>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</si>
  <si>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</si>
  <si>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</si>
  <si>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</si>
  <si>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</si>
  <si>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</si>
  <si>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</si>
  <si>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</si>
  <si>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</si>
  <si>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</si>
  <si>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</si>
  <si>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</si>
  <si>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</si>
  <si>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</si>
  <si>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</si>
  <si>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</si>
  <si>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</si>
  <si>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</si>
  <si>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</si>
  <si>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</si>
  <si>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</si>
  <si>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</si>
  <si>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</si>
  <si>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</si>
  <si>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</si>
  <si>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</si>
  <si>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</si>
  <si>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</si>
  <si>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</si>
  <si>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</si>
  <si>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</si>
  <si>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</si>
  <si>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</si>
  <si>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</si>
  <si>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</si>
  <si>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</si>
  <si>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</si>
  <si>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</si>
  <si>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</si>
  <si>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</si>
  <si>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</si>
  <si>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</si>
  <si>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</si>
  <si>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</si>
  <si>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</si>
  <si>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</si>
  <si>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</si>
  <si>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</si>
  <si>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</si>
  <si>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</si>
  <si>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</si>
  <si>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</si>
  <si>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</si>
  <si>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</si>
  <si>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</si>
  <si>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</si>
  <si>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</si>
  <si>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</si>
  <si>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</si>
  <si>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</si>
  <si>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</si>
  <si>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</si>
  <si>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</si>
  <si>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</si>
  <si>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</si>
  <si>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</si>
  <si>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</si>
  <si>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</si>
  <si>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</si>
  <si>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</si>
  <si>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</si>
  <si>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</si>
  <si>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</si>
  <si>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</si>
  <si>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</si>
  <si>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</si>
  <si>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</si>
  <si>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</si>
  <si>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</si>
  <si>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</si>
  <si>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</si>
  <si>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</si>
  <si>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</si>
  <si>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</si>
  <si>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</si>
  <si>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</si>
  <si>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</si>
  <si>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</si>
  <si>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</si>
  <si>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</si>
  <si>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</si>
  <si>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</si>
  <si>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</si>
  <si>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</si>
  <si>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</si>
  <si>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</si>
  <si>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</si>
  <si>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</si>
  <si>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</si>
  <si>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</si>
  <si>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</si>
  <si>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</si>
  <si>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</si>
  <si>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</si>
  <si>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</si>
  <si>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</si>
  <si>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</si>
  <si>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</si>
  <si>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</si>
  <si>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</si>
  <si>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</si>
  <si>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</si>
  <si>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</si>
  <si>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</si>
  <si>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</si>
  <si>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</si>
  <si>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</si>
  <si>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</si>
  <si>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</si>
  <si>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</si>
  <si>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</si>
  <si>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</si>
  <si>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</si>
  <si>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</si>
  <si>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</si>
  <si>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</si>
  <si>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</si>
  <si>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</si>
  <si>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</si>
  <si>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</si>
  <si>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</si>
  <si>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</si>
  <si>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</si>
  <si>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</si>
  <si>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</si>
  <si>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</si>
  <si>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</si>
  <si>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</si>
  <si>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</si>
  <si>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</si>
  <si>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</si>
  <si>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</si>
  <si>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</si>
  <si>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</si>
  <si>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</si>
  <si>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</si>
  <si>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</si>
  <si>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</si>
  <si>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</si>
  <si>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</si>
  <si>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</si>
  <si>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</si>
  <si>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</si>
  <si>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</si>
  <si>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</si>
  <si>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</si>
  <si>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</si>
  <si>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</si>
  <si>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</si>
  <si>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</si>
  <si>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</si>
  <si>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</si>
  <si>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</si>
  <si>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</si>
  <si>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</si>
  <si>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</si>
  <si>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</si>
  <si>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</si>
  <si>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</si>
  <si>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</si>
  <si>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</si>
  <si>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</si>
  <si>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</si>
  <si>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</si>
  <si>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</si>
  <si>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</si>
  <si>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</si>
  <si>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</si>
  <si>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</si>
  <si>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</si>
  <si>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</si>
  <si>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</si>
  <si>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</si>
  <si>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</si>
  <si>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</si>
  <si>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</si>
  <si>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</si>
  <si>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</si>
  <si>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</si>
  <si>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</si>
  <si>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</si>
  <si>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</si>
  <si>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</si>
  <si>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</si>
  <si>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</si>
  <si>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</si>
  <si>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</si>
  <si>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</si>
  <si>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</si>
  <si>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</si>
  <si>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</si>
  <si>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</si>
  <si>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</si>
  <si>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</si>
  <si>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</si>
  <si>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</si>
  <si>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</si>
  <si>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</si>
  <si>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</si>
  <si>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</si>
  <si>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</si>
  <si>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</si>
  <si>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</si>
  <si>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</si>
  <si>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</si>
  <si>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</si>
  <si>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</si>
  <si>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</si>
  <si>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</si>
  <si>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</si>
  <si>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</si>
  <si>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</si>
  <si>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</si>
  <si>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</si>
  <si>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</si>
  <si>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</si>
  <si>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</si>
  <si>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</si>
  <si>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</si>
  <si>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</si>
  <si>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</si>
  <si>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</si>
  <si>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</si>
  <si>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</si>
  <si>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</si>
  <si>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</si>
  <si>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</si>
  <si>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</si>
  <si>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</si>
  <si>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</si>
  <si>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</si>
  <si>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</si>
  <si>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</si>
  <si>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</si>
  <si>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</si>
  <si>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</si>
  <si>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</si>
  <si>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</si>
  <si>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</si>
  <si>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</si>
  <si>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</si>
  <si>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</si>
  <si>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</si>
  <si>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</si>
  <si>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</si>
  <si>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</si>
  <si>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</si>
  <si>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</si>
  <si>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</si>
  <si>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</si>
  <si>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</si>
  <si>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</si>
  <si>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</si>
  <si>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</si>
  <si>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</si>
  <si>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</si>
  <si>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</si>
  <si>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</si>
  <si>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</si>
  <si>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</si>
  <si>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</si>
  <si>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</si>
  <si>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</si>
  <si>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</si>
  <si>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</si>
  <si>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</si>
  <si>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</si>
  <si>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</si>
  <si>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</si>
  <si>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</si>
  <si>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</si>
  <si>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</si>
  <si>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</si>
  <si>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</si>
  <si>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</si>
  <si>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</si>
  <si>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</si>
  <si>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</si>
  <si>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</si>
  <si>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</si>
  <si>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</si>
  <si>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</si>
  <si>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</si>
  <si>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</si>
  <si>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</si>
  <si>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</si>
  <si>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</si>
  <si>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</si>
  <si>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</si>
  <si>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</si>
  <si>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</si>
  <si>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</si>
  <si>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</si>
  <si>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</si>
  <si>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</si>
  <si>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</si>
  <si>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</si>
  <si>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</si>
  <si>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</si>
  <si>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</si>
  <si>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</si>
  <si>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</si>
  <si>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</si>
  <si>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</si>
  <si>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</si>
  <si>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</si>
  <si>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</si>
  <si>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</si>
  <si>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</si>
  <si>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</si>
  <si>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</si>
  <si>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</si>
  <si>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</si>
  <si>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</si>
  <si>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</si>
  <si>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</si>
  <si>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</si>
  <si>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</si>
  <si>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</si>
  <si>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</si>
  <si>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</si>
  <si>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</si>
  <si>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</si>
  <si>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</si>
  <si>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</si>
  <si>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</si>
  <si>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</si>
  <si>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</si>
  <si>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</si>
  <si>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</si>
  <si>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</si>
  <si>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</si>
  <si>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</si>
  <si>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</si>
  <si>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</si>
  <si>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</si>
  <si>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</si>
  <si>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</si>
  <si>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</si>
  <si>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</si>
  <si>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</si>
  <si>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</si>
  <si>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</si>
  <si>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</si>
  <si>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</si>
  <si>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</si>
  <si>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</si>
  <si>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</si>
  <si>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</si>
  <si>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</si>
  <si>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</si>
  <si>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</si>
  <si>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</si>
  <si>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</si>
  <si>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</si>
  <si>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</si>
  <si>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</si>
  <si>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</si>
  <si>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</si>
  <si>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</si>
  <si>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</si>
  <si>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</si>
  <si>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</si>
  <si>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</si>
  <si>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</si>
  <si>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</si>
  <si>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</si>
  <si>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</si>
  <si>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</si>
  <si>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</si>
  <si>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</si>
  <si>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</si>
  <si>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</si>
  <si>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</si>
  <si>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</si>
  <si>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</si>
  <si>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</si>
  <si>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</si>
  <si>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</si>
  <si>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</si>
  <si>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</si>
  <si>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</si>
  <si>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</si>
  <si>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</si>
  <si>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</si>
  <si>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</si>
  <si>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</si>
  <si>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</si>
  <si>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</si>
  <si>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</si>
  <si>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</si>
  <si>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</si>
  <si>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</si>
  <si>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</si>
  <si>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</si>
  <si>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</si>
  <si>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</si>
  <si>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</si>
  <si>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</si>
  <si>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</si>
  <si>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</si>
  <si>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</si>
  <si>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</si>
  <si>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</si>
  <si>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</si>
  <si>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</si>
  <si>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</si>
  <si>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</si>
  <si>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</si>
  <si>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</si>
  <si>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</si>
  <si>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</si>
  <si>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</si>
  <si>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</si>
  <si>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</si>
  <si>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</si>
  <si>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</si>
  <si>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</si>
  <si>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</si>
  <si>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</si>
  <si>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</si>
  <si>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</si>
  <si>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</si>
  <si>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</si>
  <si>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</si>
  <si>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</si>
  <si>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</si>
  <si>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</si>
  <si>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</si>
  <si>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</si>
  <si>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</si>
  <si>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</si>
  <si>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</si>
  <si>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</si>
  <si>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</si>
  <si>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</si>
  <si>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</si>
  <si>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</si>
  <si>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</si>
  <si>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</si>
  <si>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</si>
  <si>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</si>
  <si>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</si>
  <si>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</si>
  <si>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</si>
  <si>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</si>
  <si>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</si>
  <si>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</si>
  <si>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</si>
  <si>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</si>
  <si>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</si>
  <si>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</si>
  <si>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</si>
  <si>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</si>
  <si>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</si>
  <si>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</si>
  <si>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</si>
  <si>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</si>
  <si>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</si>
  <si>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</si>
  <si>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</si>
  <si>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</si>
  <si>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</si>
  <si>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</si>
  <si>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</si>
  <si>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</si>
  <si>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</si>
  <si>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</si>
  <si>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</si>
  <si>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</si>
  <si>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</si>
  <si>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</si>
  <si>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</si>
  <si>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</si>
  <si>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</si>
  <si>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</si>
  <si>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</si>
  <si>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</si>
  <si>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</si>
  <si>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</si>
  <si>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</si>
  <si>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</si>
  <si>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</si>
  <si>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</si>
  <si>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</si>
  <si>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</si>
  <si>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</si>
  <si>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</si>
  <si>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</si>
  <si>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</si>
  <si>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</si>
  <si>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</si>
  <si>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</si>
  <si>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</si>
  <si>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</si>
  <si>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</si>
  <si>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</si>
  <si>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</si>
  <si>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</si>
  <si>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</si>
  <si>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</si>
  <si>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</si>
  <si>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</si>
  <si>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</si>
  <si>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</si>
  <si>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</si>
  <si>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</si>
  <si>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</si>
  <si>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</si>
  <si>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</si>
  <si>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</si>
  <si>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</si>
  <si>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</si>
  <si>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</si>
  <si>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</si>
  <si>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</si>
  <si>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</si>
  <si>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</si>
  <si>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</si>
  <si>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</si>
  <si>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</si>
  <si>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</si>
  <si>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</si>
  <si>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</si>
  <si>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</si>
  <si>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</si>
  <si>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</si>
  <si>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</si>
  <si>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</si>
  <si>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</si>
  <si>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</si>
  <si>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</si>
  <si>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</si>
  <si>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</si>
  <si>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</si>
  <si>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</si>
  <si>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</si>
  <si>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</si>
  <si>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</si>
  <si>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</si>
  <si>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</si>
  <si>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</si>
  <si>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</si>
  <si>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</si>
  <si>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</si>
  <si>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</si>
  <si>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</si>
  <si>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</si>
  <si>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</si>
  <si>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</si>
  <si>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</si>
  <si>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</si>
  <si>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</si>
  <si>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</si>
  <si>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</si>
  <si>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</si>
  <si>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</si>
  <si>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</si>
  <si>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</si>
  <si>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</si>
  <si>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</si>
  <si>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</si>
  <si>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</si>
  <si>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</si>
  <si>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</si>
  <si>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</si>
  <si>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</si>
  <si>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</si>
  <si>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</si>
  <si>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</si>
  <si>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</si>
  <si>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</si>
  <si>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</si>
  <si>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</si>
  <si>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</si>
  <si>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</si>
  <si>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</si>
  <si>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</si>
  <si>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</si>
  <si>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</si>
  <si>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</si>
  <si>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</si>
  <si>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</si>
  <si>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</si>
  <si>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</si>
  <si>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</si>
  <si>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</si>
  <si>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</si>
  <si>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</si>
  <si>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</si>
  <si>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</si>
  <si>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</si>
  <si>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</si>
  <si>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</si>
  <si>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</si>
  <si>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</si>
  <si>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</si>
  <si>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</si>
  <si>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</si>
  <si>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</si>
  <si>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</si>
  <si>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</si>
  <si>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</si>
  <si>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</si>
  <si>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</si>
  <si>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</si>
  <si>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</si>
  <si>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</si>
  <si>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</si>
  <si>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</si>
  <si>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</si>
  <si>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</si>
  <si>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</si>
  <si>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</si>
  <si>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</si>
  <si>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</si>
  <si>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</si>
  <si>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</si>
  <si>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</si>
  <si>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</si>
  <si>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</si>
  <si>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</si>
  <si>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</si>
  <si>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</si>
  <si>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</si>
  <si>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</si>
  <si>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</si>
  <si>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</si>
  <si>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</si>
  <si>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</si>
  <si>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</si>
  <si>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</si>
  <si>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</si>
  <si>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</si>
  <si>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</si>
  <si>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</si>
  <si>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</si>
  <si>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</si>
  <si>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</si>
  <si>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</si>
  <si>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</si>
  <si>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</si>
  <si>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</si>
  <si>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</si>
  <si>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</si>
  <si>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</si>
  <si>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</si>
  <si>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</si>
  <si>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</si>
  <si>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</si>
  <si>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</si>
  <si>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</si>
  <si>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</si>
  <si>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</si>
  <si>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</si>
  <si>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</si>
  <si>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</si>
  <si>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</si>
  <si>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</si>
  <si>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</si>
  <si>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</si>
  <si>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</si>
  <si>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</si>
  <si>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</si>
  <si>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</si>
  <si>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</si>
  <si>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</si>
  <si>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</si>
  <si>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</si>
  <si>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</si>
  <si>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</si>
  <si>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</si>
  <si>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</si>
  <si>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</si>
  <si>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</si>
  <si>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</si>
  <si>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</si>
  <si>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</si>
  <si>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</si>
  <si>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</si>
  <si>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</si>
  <si>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</si>
  <si>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</si>
  <si>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</si>
  <si>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</si>
  <si>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</si>
  <si>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</si>
  <si>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</si>
  <si>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</si>
  <si>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</si>
  <si>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</si>
  <si>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</si>
  <si>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</si>
  <si>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</si>
  <si>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</si>
  <si>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</si>
  <si>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</si>
  <si>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</si>
  <si>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</si>
  <si>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</si>
  <si>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</si>
  <si>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</si>
  <si>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</si>
  <si>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</si>
  <si>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</si>
  <si>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</si>
  <si>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</si>
  <si>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</si>
  <si>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</si>
  <si>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</si>
  <si>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</si>
  <si>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</si>
  <si>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</si>
  <si>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</si>
  <si>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</si>
  <si>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</si>
  <si>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</si>
  <si>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</si>
  <si>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</si>
  <si>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</si>
  <si>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</si>
  <si>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</si>
  <si>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</si>
  <si>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</si>
  <si>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</si>
  <si>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</si>
  <si>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</si>
  <si>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</si>
  <si>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</si>
  <si>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</si>
  <si>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</si>
  <si>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</si>
  <si>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</si>
  <si>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</si>
  <si>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</si>
  <si>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</si>
  <si>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</si>
  <si>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</si>
  <si>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</si>
  <si>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</si>
  <si>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</si>
  <si>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</si>
  <si>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</si>
  <si>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</si>
  <si>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</si>
  <si>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</si>
  <si>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</si>
  <si>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</si>
  <si>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</si>
  <si>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</si>
  <si>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</si>
  <si>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</si>
  <si>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</si>
  <si>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</si>
  <si>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</si>
  <si>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</si>
  <si>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</si>
  <si>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</si>
  <si>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</si>
  <si>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</si>
  <si>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</si>
  <si>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</si>
  <si>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</si>
  <si>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</si>
  <si>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</si>
  <si>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</si>
  <si>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</si>
  <si>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</si>
  <si>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</si>
  <si>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</si>
  <si>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</si>
  <si>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</si>
  <si>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</si>
  <si>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</si>
  <si>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</si>
  <si>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</si>
  <si>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</si>
  <si>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</si>
  <si>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</si>
  <si>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</si>
  <si>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</si>
  <si>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</si>
  <si>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</si>
  <si>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</si>
  <si>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</si>
  <si>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</si>
  <si>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</si>
  <si>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</si>
  <si>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</si>
  <si>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</si>
  <si>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</si>
  <si>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</si>
  <si>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</si>
  <si>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</si>
  <si>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</si>
  <si>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</si>
  <si>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</si>
  <si>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</si>
  <si>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</si>
  <si>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</si>
  <si>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</si>
  <si>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</si>
  <si>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</si>
  <si>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</si>
  <si>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</si>
  <si>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</si>
  <si>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</si>
  <si>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</si>
  <si>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</si>
  <si>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</si>
  <si>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</si>
  <si>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</si>
  <si>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</si>
  <si>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</si>
  <si>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</si>
  <si>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</si>
  <si>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</si>
  <si>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</si>
  <si>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</si>
  <si>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</si>
  <si>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</si>
  <si>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</si>
  <si>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</si>
  <si>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</si>
  <si>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</si>
  <si>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</si>
  <si>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</si>
  <si>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</si>
  <si>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</si>
  <si>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</si>
  <si>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</si>
  <si>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</si>
  <si>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</si>
  <si>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</si>
  <si>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</si>
  <si>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</si>
  <si>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</si>
  <si>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</si>
  <si>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</si>
  <si>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</si>
  <si>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</si>
  <si>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</si>
  <si>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</si>
  <si>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</si>
  <si>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</si>
  <si>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</si>
  <si>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</si>
  <si>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</si>
  <si>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</si>
  <si>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</si>
  <si>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</si>
  <si>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</si>
  <si>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</si>
  <si>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</si>
  <si>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</si>
  <si>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</si>
  <si>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</si>
  <si>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</si>
  <si>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</si>
  <si>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</si>
  <si>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</si>
  <si>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</si>
  <si>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</si>
  <si>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</si>
  <si>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</si>
  <si>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</si>
  <si>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</si>
  <si>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</si>
  <si>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</si>
  <si>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</si>
  <si>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</si>
  <si>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</si>
  <si>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</si>
  <si>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</si>
  <si>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</si>
  <si>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</si>
  <si>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</si>
  <si>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</si>
  <si>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</si>
  <si>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</si>
  <si>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</si>
  <si>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</si>
  <si>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</si>
  <si>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</si>
  <si>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</si>
  <si>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</si>
  <si>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</si>
  <si>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</si>
  <si>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</si>
  <si>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</si>
  <si>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</si>
  <si>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</si>
  <si>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</si>
  <si>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</si>
  <si>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</si>
  <si>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</si>
  <si>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</si>
  <si>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</si>
  <si>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</si>
  <si>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</si>
  <si>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</si>
  <si>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</si>
  <si>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</si>
  <si>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</si>
  <si>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</si>
  <si>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</si>
  <si>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</si>
  <si>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</si>
  <si>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</si>
  <si>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</si>
  <si>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</si>
  <si>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</si>
  <si>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</si>
  <si>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</si>
  <si>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</si>
  <si>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</si>
  <si>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</si>
  <si>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</si>
  <si>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</si>
  <si>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</si>
  <si>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</si>
  <si>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</si>
  <si>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</si>
  <si>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</si>
  <si>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</si>
  <si>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</si>
  <si>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</si>
  <si>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</si>
  <si>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</si>
  <si>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</si>
  <si>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</si>
  <si>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</si>
  <si>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</si>
  <si>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</si>
  <si>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</si>
  <si>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</si>
  <si>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</si>
  <si>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</si>
  <si>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</si>
  <si>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</si>
  <si>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</si>
  <si>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</si>
  <si>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</si>
  <si>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</si>
  <si>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</si>
  <si>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</si>
  <si>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</si>
  <si>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</si>
  <si>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</si>
  <si>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</si>
  <si>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</si>
  <si>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</si>
  <si>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</si>
  <si>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</si>
  <si>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</si>
  <si>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</si>
  <si>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</si>
  <si>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</si>
  <si>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</si>
  <si>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</si>
  <si>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</si>
  <si>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</si>
  <si>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</si>
  <si>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</si>
  <si>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</si>
  <si>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</si>
  <si>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</si>
  <si>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</si>
  <si>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</si>
  <si>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</si>
  <si>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</si>
  <si>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</si>
  <si>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</si>
  <si>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</si>
  <si>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</si>
  <si>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</si>
  <si>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</si>
  <si>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</si>
  <si>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</si>
  <si>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</si>
  <si>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</si>
  <si>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</si>
  <si>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</si>
  <si>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</si>
  <si>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</si>
  <si>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</si>
  <si>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</si>
  <si>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</si>
  <si>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</si>
  <si>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</si>
  <si>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</si>
  <si>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</si>
  <si>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</si>
  <si>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</si>
  <si>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</si>
  <si>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</si>
  <si>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</si>
  <si>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</si>
  <si>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</si>
  <si>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</si>
  <si>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</si>
  <si>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</si>
  <si>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</si>
  <si>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</si>
  <si>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</si>
  <si>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</si>
  <si>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</si>
  <si>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</si>
  <si>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</si>
  <si>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</si>
  <si>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</si>
  <si>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</si>
  <si>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</si>
  <si>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</si>
  <si>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</si>
  <si>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</si>
  <si>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</si>
  <si>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</si>
  <si>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</si>
  <si>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</si>
  <si>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</si>
  <si>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</si>
  <si>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</si>
  <si>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</si>
  <si>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</si>
  <si>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</si>
  <si>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</si>
  <si>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</si>
  <si>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</si>
  <si>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</si>
  <si>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</si>
  <si>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</si>
  <si>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</si>
  <si>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</si>
  <si>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</si>
  <si>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</si>
  <si>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</si>
  <si>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</si>
  <si>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</si>
  <si>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</si>
  <si>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</si>
  <si>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</si>
  <si>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</si>
  <si>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</si>
  <si>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</si>
  <si>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</si>
  <si>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</si>
  <si>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</si>
  <si>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</si>
  <si>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</si>
  <si>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</si>
  <si>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</si>
  <si>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</si>
  <si>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</si>
  <si>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</si>
  <si>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</si>
  <si>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</si>
  <si>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</si>
  <si>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</si>
  <si>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</si>
  <si>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</si>
  <si>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</si>
  <si>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</si>
  <si>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</si>
  <si>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</si>
  <si>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</si>
  <si>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</si>
  <si>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</si>
  <si>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</si>
  <si>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</si>
  <si>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</si>
  <si>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</si>
  <si>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</si>
  <si>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</si>
  <si>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</si>
  <si>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</si>
  <si>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</si>
  <si>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</si>
  <si>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</si>
  <si>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</si>
  <si>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</si>
  <si>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</si>
  <si>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</si>
  <si>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</si>
  <si>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</si>
  <si>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</si>
  <si>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</si>
  <si>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</si>
  <si>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</si>
  <si>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</si>
  <si>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</si>
  <si>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</si>
  <si>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</si>
  <si>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</si>
  <si>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</si>
  <si>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</si>
  <si>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</si>
  <si>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</si>
  <si>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</si>
  <si>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</si>
  <si>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</si>
  <si>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</si>
  <si>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</si>
  <si>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</si>
  <si>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</si>
  <si>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</si>
  <si>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</si>
  <si>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</si>
  <si>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</si>
  <si>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</si>
  <si>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</si>
  <si>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</si>
  <si>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</si>
  <si>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</si>
  <si>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</si>
  <si>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</si>
  <si>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</si>
  <si>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</si>
  <si>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</si>
  <si>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</si>
  <si>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</si>
  <si>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</si>
  <si>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</si>
  <si>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</si>
  <si>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</si>
  <si>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</si>
  <si>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</si>
  <si>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</si>
  <si>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</si>
  <si>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</si>
  <si>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</si>
  <si>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</si>
  <si>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</si>
  <si>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</si>
  <si>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</si>
  <si>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</si>
  <si>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</si>
  <si>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</si>
  <si>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</si>
  <si>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</si>
  <si>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</si>
  <si>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</si>
  <si>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</si>
  <si>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</si>
  <si>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</si>
  <si>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</si>
  <si>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</si>
  <si>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</si>
  <si>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</si>
  <si>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</si>
  <si>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</si>
  <si>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</si>
  <si>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</si>
  <si>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</si>
  <si>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</si>
  <si>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</si>
  <si>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</si>
  <si>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</si>
  <si>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</si>
  <si>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</si>
  <si>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</si>
  <si>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</si>
  <si>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</si>
  <si>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</si>
  <si>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</si>
  <si>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</si>
  <si>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</si>
  <si>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</si>
  <si>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</si>
  <si>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</si>
  <si>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</si>
  <si>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</si>
  <si>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</si>
  <si>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</si>
  <si>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</si>
  <si>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</si>
  <si>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</si>
  <si>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</si>
  <si>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</si>
  <si>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</si>
  <si>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</si>
  <si>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</si>
  <si>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</si>
  <si>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</si>
  <si>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</si>
  <si>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</si>
  <si>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</si>
  <si>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</si>
  <si>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</si>
  <si>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</si>
  <si>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</si>
  <si>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</si>
  <si>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</si>
  <si>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</si>
  <si>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</si>
  <si>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</si>
  <si>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</si>
  <si>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</si>
  <si>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</si>
  <si>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</si>
  <si>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</si>
  <si>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</si>
  <si>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</si>
  <si>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</si>
  <si>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</si>
  <si>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</si>
  <si>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</si>
  <si>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</si>
  <si>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</si>
  <si>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</si>
  <si>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</si>
  <si>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</si>
  <si>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</si>
  <si>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</si>
  <si>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</si>
  <si>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</si>
  <si>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</si>
  <si>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</si>
  <si>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</si>
  <si>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</si>
  <si>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</si>
  <si>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</si>
  <si>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</si>
  <si>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</si>
  <si>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</si>
  <si>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</si>
  <si>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</si>
  <si>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</si>
  <si>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</si>
  <si>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</si>
  <si>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</si>
  <si>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</si>
  <si>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</si>
  <si>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</si>
  <si>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</si>
  <si>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</si>
  <si>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</si>
  <si>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</si>
  <si>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</si>
  <si>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</si>
  <si>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</si>
  <si>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</si>
  <si>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</si>
  <si>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</si>
  <si>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</si>
  <si>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</si>
  <si>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</si>
  <si>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</si>
  <si>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</si>
  <si>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</si>
  <si>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</si>
  <si>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</si>
  <si>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</si>
  <si>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</si>
  <si>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</si>
  <si>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</si>
  <si>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</si>
  <si>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</si>
  <si>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</si>
  <si>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</si>
  <si>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</si>
  <si>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</si>
  <si>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</si>
  <si>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</si>
  <si>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</si>
  <si>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</si>
  <si>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</si>
  <si>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</si>
  <si>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</si>
  <si>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</si>
  <si>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</si>
  <si>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</si>
  <si>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</si>
  <si>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</si>
  <si>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</si>
  <si>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</si>
  <si>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</si>
  <si>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</si>
  <si>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</si>
  <si>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</si>
  <si>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</si>
  <si>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</si>
  <si>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</si>
  <si>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</si>
  <si>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</si>
  <si>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</si>
  <si>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</si>
  <si>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</si>
  <si>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</si>
  <si>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</si>
  <si>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</si>
  <si>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</si>
  <si>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</si>
  <si>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</si>
  <si>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</si>
  <si>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</si>
  <si>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</si>
  <si>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</si>
  <si>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</si>
  <si>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</si>
  <si>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</si>
  <si>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</si>
  <si>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</si>
  <si>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</si>
  <si>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</si>
  <si>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</si>
  <si>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</si>
  <si>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</si>
  <si>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</si>
  <si>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</si>
  <si>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</si>
  <si>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</si>
  <si>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</si>
  <si>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</si>
  <si>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</si>
  <si>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</si>
  <si>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</si>
  <si>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</si>
  <si>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</si>
  <si>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</si>
  <si>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</si>
  <si>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</si>
  <si>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</si>
  <si>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</si>
  <si>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</si>
  <si>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</si>
  <si>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</si>
  <si>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</si>
  <si>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</si>
  <si>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</si>
  <si>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</si>
  <si>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</si>
  <si>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</si>
  <si>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</si>
  <si>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</si>
  <si>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</si>
  <si>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</si>
  <si>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</si>
  <si>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</si>
  <si>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</si>
  <si>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</si>
  <si>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</si>
  <si>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</si>
  <si>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</si>
  <si>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</si>
  <si>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</si>
  <si>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</si>
  <si>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</si>
  <si>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</si>
  <si>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</si>
  <si>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</si>
  <si>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</si>
  <si>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</si>
  <si>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</si>
  <si>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</si>
  <si>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</si>
  <si>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</si>
  <si>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</si>
  <si>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</si>
  <si>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</si>
  <si>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</si>
  <si>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</si>
  <si>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</si>
  <si>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</si>
  <si>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</si>
  <si>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</si>
  <si>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</si>
  <si>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</si>
  <si>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</si>
  <si>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</si>
  <si>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</si>
  <si>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</si>
  <si>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</si>
  <si>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</si>
  <si>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</si>
  <si>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</si>
  <si>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</si>
  <si>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</si>
  <si>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</si>
  <si>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</si>
  <si>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</si>
  <si>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</si>
  <si>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</si>
  <si>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</si>
  <si>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</si>
  <si>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</si>
  <si>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</si>
  <si>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</si>
  <si>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</si>
  <si>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</si>
  <si>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</si>
  <si>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</si>
  <si>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</si>
  <si>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</si>
  <si>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</si>
  <si>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</si>
  <si>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</si>
  <si>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</si>
  <si>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</si>
  <si>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</si>
  <si>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</si>
  <si>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</si>
  <si>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</si>
  <si>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</si>
  <si>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</si>
  <si>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</si>
  <si>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</si>
  <si>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</si>
  <si>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</si>
  <si>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</si>
  <si>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</si>
  <si>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</si>
  <si>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</si>
  <si>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</si>
  <si>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</si>
  <si>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</si>
  <si>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</si>
  <si>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</si>
  <si>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</si>
  <si>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</si>
  <si>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</si>
  <si>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</si>
  <si>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</si>
  <si>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</si>
  <si>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</si>
  <si>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</si>
  <si>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</si>
  <si>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</si>
  <si>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</si>
  <si>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</si>
  <si>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</si>
  <si>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</si>
  <si>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</si>
  <si>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</si>
  <si>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</si>
  <si>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</si>
  <si>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</si>
  <si>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</si>
  <si>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</si>
  <si>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</si>
  <si>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</si>
  <si>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</si>
  <si>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</si>
  <si>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</si>
  <si>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</si>
  <si>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</si>
  <si>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</si>
  <si>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</si>
  <si>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</si>
  <si>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</si>
  <si>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</si>
  <si>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</si>
  <si>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</si>
  <si>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</si>
  <si>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</si>
  <si>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</si>
  <si>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</si>
  <si>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</si>
  <si>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</si>
  <si>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</si>
  <si>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</si>
  <si>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</si>
  <si>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</si>
  <si>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</si>
  <si>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</si>
  <si>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</si>
  <si>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</si>
  <si>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</si>
  <si>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</si>
  <si>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</si>
  <si>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</si>
  <si>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</si>
  <si>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</si>
  <si>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</si>
  <si>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</si>
  <si>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</si>
  <si>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</si>
  <si>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</si>
  <si>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</si>
  <si>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</si>
  <si>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</si>
  <si>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</si>
  <si>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</si>
  <si>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</si>
  <si>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</si>
  <si>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</si>
  <si>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</si>
  <si>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</si>
  <si>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</si>
  <si>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</si>
  <si>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</si>
  <si>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</si>
  <si>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</si>
  <si>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</si>
  <si>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</si>
  <si>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</si>
  <si>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</si>
  <si>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</si>
  <si>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</si>
  <si>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</si>
  <si>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</si>
  <si>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</si>
  <si>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</si>
  <si>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</si>
  <si>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</si>
  <si>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</si>
  <si>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</si>
  <si>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</si>
  <si>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</si>
  <si>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</si>
  <si>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</si>
  <si>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</si>
  <si>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</si>
  <si>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</si>
  <si>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</si>
  <si>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</si>
  <si>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</si>
  <si>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</si>
  <si>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</si>
  <si>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</si>
  <si>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</si>
  <si>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</si>
  <si>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</si>
  <si>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</si>
  <si>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</si>
  <si>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</si>
  <si>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</si>
  <si>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</si>
  <si>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</si>
  <si>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</si>
  <si>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</si>
  <si>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</si>
  <si>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</si>
  <si>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</si>
  <si>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</si>
  <si>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</si>
  <si>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</si>
  <si>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</si>
  <si>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</si>
  <si>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</si>
  <si>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</si>
  <si>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</si>
  <si>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</si>
  <si>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</si>
  <si>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</si>
  <si>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</si>
  <si>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</si>
  <si>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</si>
  <si>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</si>
  <si>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</si>
  <si>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</si>
  <si>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</si>
  <si>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</si>
  <si>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</si>
  <si>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</si>
  <si>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</si>
  <si>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</si>
  <si>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</si>
  <si>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</si>
  <si>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</si>
  <si>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</si>
  <si>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</si>
  <si>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</si>
  <si>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</si>
  <si>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</si>
  <si>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</si>
  <si>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</si>
  <si>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</si>
  <si>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</si>
  <si>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</si>
  <si>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</si>
  <si>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</si>
  <si>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</si>
  <si>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</si>
  <si>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</si>
  <si>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</si>
  <si>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</si>
  <si>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</si>
  <si>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</si>
  <si>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</si>
  <si>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</si>
  <si>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</si>
  <si>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</si>
  <si>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</si>
  <si>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</si>
  <si>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</si>
  <si>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</si>
  <si>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</si>
  <si>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</si>
  <si>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</si>
  <si>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</si>
  <si>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</si>
  <si>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</si>
  <si>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</si>
  <si>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</si>
  <si>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</si>
  <si>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</si>
  <si>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</si>
  <si>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</si>
  <si>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</si>
  <si>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</si>
  <si>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</si>
  <si>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</si>
  <si>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</si>
  <si>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</si>
  <si>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</si>
  <si>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</si>
  <si>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</si>
  <si>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</si>
  <si>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</si>
  <si>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</si>
  <si>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</si>
  <si>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</si>
  <si>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</si>
  <si>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</si>
  <si>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</si>
  <si>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</si>
  <si>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</si>
  <si>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</si>
  <si>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</si>
  <si>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</si>
  <si>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</si>
  <si>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</si>
  <si>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</si>
  <si>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</si>
  <si>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</si>
  <si>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</si>
  <si>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</si>
  <si>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</si>
  <si>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</si>
  <si>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</si>
  <si>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</si>
  <si>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</si>
  <si>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</si>
  <si>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</si>
  <si>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</si>
  <si>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</si>
  <si>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</si>
  <si>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</si>
  <si>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</si>
  <si>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</si>
  <si>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</si>
  <si>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</si>
  <si>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</si>
  <si>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</si>
  <si>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</si>
  <si>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</si>
  <si>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</si>
  <si>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</si>
  <si>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</si>
  <si>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</si>
  <si>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</si>
  <si>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</si>
  <si>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</si>
  <si>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</si>
  <si>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</si>
  <si>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</si>
  <si>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</si>
  <si>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</si>
  <si>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</si>
  <si>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</si>
  <si>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</si>
  <si>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</si>
  <si>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</si>
  <si>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</si>
  <si>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</si>
  <si>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</si>
  <si>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</si>
  <si>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</si>
  <si>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</si>
  <si>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</si>
  <si>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</si>
  <si>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</si>
  <si>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</si>
  <si>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</si>
  <si>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</si>
  <si>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</si>
  <si>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</si>
  <si>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</si>
  <si>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</si>
  <si>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</si>
  <si>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</si>
  <si>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</si>
  <si>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</si>
  <si>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</si>
  <si>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</si>
  <si>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</si>
  <si>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</si>
  <si>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</si>
  <si>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</si>
  <si>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</si>
  <si>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</si>
  <si>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</si>
  <si>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</si>
  <si>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</si>
  <si>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</si>
  <si>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</si>
  <si>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</si>
  <si>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</si>
  <si>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</si>
  <si>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</si>
  <si>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</si>
  <si>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</si>
  <si>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</si>
  <si>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</si>
  <si>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</si>
  <si>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</si>
  <si>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</si>
  <si>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</si>
  <si>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</si>
  <si>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</si>
  <si>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</si>
  <si>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</si>
  <si>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</si>
  <si>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</si>
  <si>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</si>
  <si>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</si>
  <si>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</si>
  <si>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</si>
  <si>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</si>
  <si>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</si>
  <si>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</si>
  <si>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</si>
  <si>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</si>
  <si>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</si>
  <si>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</si>
  <si>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</si>
  <si>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</si>
  <si>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</si>
  <si>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</si>
  <si>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</si>
  <si>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</si>
  <si>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</si>
  <si>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</si>
  <si>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</si>
  <si>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</si>
  <si>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</si>
  <si>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</si>
  <si>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</si>
  <si>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</si>
  <si>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</si>
  <si>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</si>
  <si>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</si>
  <si>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</si>
  <si>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</si>
  <si>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</si>
  <si>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</si>
  <si>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</si>
  <si>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</si>
  <si>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</si>
  <si>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</si>
  <si>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</si>
  <si>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</si>
  <si>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</si>
  <si>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</si>
  <si>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</si>
  <si>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</si>
  <si>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</si>
  <si>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</si>
  <si>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</si>
  <si>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</si>
  <si>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</si>
  <si>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</si>
  <si>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</si>
  <si>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</si>
  <si>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</si>
  <si>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</si>
  <si>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</si>
  <si>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</si>
  <si>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</si>
  <si>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</si>
  <si>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</si>
  <si>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</si>
  <si>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</si>
  <si>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</si>
  <si>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</si>
  <si>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</si>
  <si>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</si>
  <si>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</si>
  <si>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</si>
  <si>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</si>
  <si>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</si>
  <si>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</si>
  <si>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</si>
  <si>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</si>
  <si>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</si>
  <si>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</si>
  <si>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</si>
  <si>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</si>
  <si>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</si>
  <si>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</si>
  <si>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</si>
  <si>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</si>
  <si>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</si>
  <si>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</si>
  <si>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</si>
  <si>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</si>
  <si>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</si>
  <si>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</si>
  <si>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</si>
  <si>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</si>
  <si>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</si>
  <si>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</si>
  <si>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</si>
  <si>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</si>
  <si>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</si>
  <si>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</si>
  <si>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</si>
  <si>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</si>
  <si>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</si>
  <si>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</si>
  <si>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</si>
  <si>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</si>
  <si>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</si>
  <si>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</si>
  <si>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</si>
  <si>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</si>
  <si>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</si>
  <si>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</si>
  <si>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</si>
  <si>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</si>
  <si>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</si>
  <si>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</si>
  <si>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</si>
  <si>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</si>
  <si>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</si>
  <si>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</si>
  <si>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</si>
  <si>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</si>
  <si>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</si>
  <si>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</si>
  <si>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</si>
  <si>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</si>
  <si>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</si>
  <si>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</si>
  <si>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</si>
  <si>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</si>
  <si>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</si>
  <si>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</si>
  <si>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</si>
  <si>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</si>
  <si>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</si>
  <si>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</si>
  <si>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</si>
  <si>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</si>
  <si>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</si>
  <si>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</si>
  <si>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</si>
  <si>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</si>
  <si>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</si>
  <si>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</si>
  <si>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</si>
  <si>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</si>
  <si>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</si>
  <si>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</si>
  <si>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</si>
  <si>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</si>
  <si>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</si>
  <si>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</si>
  <si>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</si>
  <si>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</si>
  <si>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</si>
  <si>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</si>
  <si>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</si>
  <si>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</si>
  <si>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</si>
  <si>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</si>
  <si>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</si>
  <si>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</si>
  <si>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</si>
  <si>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</si>
  <si>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</si>
  <si>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</si>
  <si>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</si>
  <si>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</si>
  <si>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</si>
  <si>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</si>
  <si>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</si>
  <si>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</si>
  <si>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</si>
  <si>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</si>
  <si>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</si>
  <si>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</si>
  <si>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</si>
  <si>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</si>
  <si>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</si>
  <si>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</si>
  <si>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</si>
  <si>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</si>
  <si>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</si>
  <si>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</si>
  <si>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</si>
  <si>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</si>
  <si>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</si>
  <si>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</si>
  <si>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</si>
  <si>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</si>
  <si>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</si>
  <si>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</si>
  <si>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</si>
  <si>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</si>
  <si>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</si>
  <si>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</si>
  <si>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</si>
  <si>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</si>
  <si>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</si>
  <si>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</si>
  <si>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</si>
  <si>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</si>
  <si>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</si>
  <si>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</si>
  <si>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</si>
  <si>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</si>
  <si>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</si>
  <si>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</si>
  <si>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</si>
  <si>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</si>
  <si>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</si>
  <si>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</si>
  <si>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</si>
  <si>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</si>
  <si>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</si>
  <si>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</si>
  <si>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</si>
  <si>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</si>
  <si>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</si>
  <si>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</si>
  <si>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</si>
  <si>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</si>
  <si>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</si>
  <si>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</si>
  <si>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</si>
  <si>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</si>
  <si>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</si>
  <si>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</si>
  <si>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</si>
  <si>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</si>
  <si>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</si>
  <si>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</si>
  <si>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</si>
  <si>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</si>
  <si>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</si>
  <si>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</si>
  <si>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</si>
  <si>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</si>
  <si>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</si>
  <si>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</si>
  <si>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</si>
  <si>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</si>
  <si>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</si>
  <si>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</si>
  <si>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</si>
  <si>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</si>
  <si>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</si>
  <si>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</si>
  <si>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</si>
  <si>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</si>
  <si>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</si>
  <si>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</si>
  <si>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</si>
  <si>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</si>
  <si>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</si>
  <si>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</si>
  <si>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</si>
  <si>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</si>
  <si>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</si>
  <si>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</si>
  <si>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</si>
  <si>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</si>
  <si>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</si>
  <si>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</si>
  <si>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</si>
  <si>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</si>
  <si>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</si>
  <si>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</si>
  <si>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</si>
  <si>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</si>
  <si>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</si>
  <si>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</si>
  <si>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</si>
  <si>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</si>
  <si>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</si>
  <si>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</si>
  <si>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</si>
  <si>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</si>
  <si>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</si>
  <si>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</si>
  <si>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</si>
  <si>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</si>
  <si>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</si>
  <si>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</si>
  <si>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</si>
  <si>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</si>
  <si>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</si>
  <si>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</si>
  <si>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</si>
  <si>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</si>
  <si>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</si>
  <si>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</si>
  <si>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</si>
  <si>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</si>
  <si>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</si>
  <si>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</si>
  <si>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</si>
  <si>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</si>
  <si>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</si>
  <si>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</si>
  <si>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</si>
  <si>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</si>
  <si>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</si>
  <si>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</si>
  <si>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</si>
  <si>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</si>
  <si>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</si>
  <si>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</si>
  <si>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</si>
  <si>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</si>
  <si>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</si>
  <si>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</si>
  <si>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</si>
  <si>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</si>
  <si>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</si>
  <si>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</si>
  <si>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</si>
  <si>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</si>
  <si>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</si>
  <si>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</si>
  <si>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</si>
  <si>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</si>
  <si>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</si>
  <si>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</si>
  <si>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</si>
  <si>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</si>
  <si>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</si>
  <si>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</si>
  <si>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</si>
  <si>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</si>
  <si>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</si>
  <si>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</si>
  <si>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</si>
  <si>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</si>
  <si>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</si>
  <si>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</si>
  <si>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</si>
  <si>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</si>
  <si>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</si>
  <si>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</si>
  <si>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</si>
  <si>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</si>
  <si>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</si>
  <si>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</si>
  <si>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</si>
  <si>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</si>
  <si>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</si>
  <si>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</si>
  <si>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</si>
  <si>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</si>
  <si>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</si>
  <si>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</si>
  <si>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</si>
  <si>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</si>
  <si>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</si>
  <si>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</si>
  <si>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</si>
  <si>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</si>
  <si>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</si>
  <si>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</si>
  <si>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</si>
  <si>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</si>
  <si>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</si>
  <si>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</si>
  <si>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</si>
  <si>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</si>
  <si>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</si>
  <si>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</si>
  <si>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</si>
  <si>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</si>
  <si>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</si>
  <si>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</si>
  <si>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</si>
  <si>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</si>
  <si>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</si>
  <si>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</si>
  <si>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</si>
  <si>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</si>
  <si>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</si>
  <si>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</si>
  <si>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</si>
  <si>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</si>
  <si>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</si>
  <si>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</si>
  <si>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</si>
  <si>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</si>
  <si>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</si>
  <si>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</si>
  <si>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</si>
  <si>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</si>
  <si>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</si>
  <si>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</si>
  <si>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</si>
  <si>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</si>
  <si>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</si>
  <si>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</si>
  <si>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</si>
  <si>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</si>
  <si>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</si>
  <si>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</si>
  <si>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</si>
  <si>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</si>
  <si>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</si>
  <si>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</si>
  <si>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</si>
  <si>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</si>
  <si>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</si>
  <si>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</si>
  <si>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</si>
  <si>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</si>
  <si>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</si>
  <si>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</si>
  <si>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</si>
  <si>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</si>
  <si>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</si>
  <si>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</si>
  <si>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</si>
  <si>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</si>
  <si>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</si>
  <si>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</si>
  <si>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</si>
  <si>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</si>
  <si>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</si>
  <si>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</si>
  <si>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</si>
  <si>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</si>
  <si>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</si>
  <si>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</si>
  <si>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</si>
  <si>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</si>
  <si>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</si>
  <si>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</si>
  <si>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</si>
  <si>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</si>
  <si>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</si>
  <si>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</si>
  <si>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</si>
  <si>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</si>
  <si>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</si>
  <si>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</si>
  <si>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</si>
  <si>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</si>
  <si>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</si>
  <si>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</si>
  <si>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</si>
  <si>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</si>
  <si>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</si>
  <si>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</si>
  <si>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</si>
  <si>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</si>
  <si>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</si>
  <si>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</si>
  <si>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</si>
  <si>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</si>
  <si>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</si>
  <si>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</si>
  <si>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</si>
  <si>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</si>
  <si>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</si>
  <si>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</si>
  <si>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</si>
  <si>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</si>
  <si>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</si>
  <si>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</si>
  <si>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</si>
  <si>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</si>
  <si>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</si>
  <si>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</si>
  <si>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</si>
  <si>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</si>
  <si>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</si>
  <si>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</si>
  <si>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</si>
  <si>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</si>
  <si>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</si>
  <si>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</si>
  <si>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</si>
  <si>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</si>
  <si>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</si>
  <si>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</si>
  <si>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</si>
  <si>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</si>
  <si>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</si>
  <si>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</si>
  <si>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</si>
  <si>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</si>
  <si>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</si>
  <si>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</si>
  <si>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</si>
  <si>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</si>
  <si>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</si>
  <si>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</si>
  <si>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</si>
  <si>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</si>
  <si>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</si>
  <si>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</si>
  <si>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</si>
  <si>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</si>
  <si>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</si>
  <si>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</si>
  <si>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</si>
  <si>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</si>
  <si>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</si>
  <si>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</si>
  <si>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</si>
  <si>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</si>
  <si>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</si>
  <si>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</si>
  <si>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</si>
  <si>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</si>
  <si>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</si>
  <si>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</si>
  <si>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</si>
  <si>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</si>
  <si>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</si>
  <si>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</si>
  <si>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</si>
  <si>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</si>
  <si>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</si>
  <si>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</si>
  <si>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</si>
  <si>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</si>
  <si>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</si>
  <si>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</si>
  <si>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</si>
  <si>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</si>
  <si>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</si>
  <si>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</si>
  <si>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</si>
  <si>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</si>
  <si>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</si>
  <si>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</si>
  <si>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</si>
  <si>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</si>
  <si>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</si>
  <si>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</si>
  <si>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</si>
  <si>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</si>
  <si>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</si>
  <si>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</si>
  <si>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</si>
  <si>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</si>
  <si>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</si>
  <si>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</si>
  <si>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</si>
  <si>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</si>
  <si>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</si>
  <si>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</si>
  <si>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</si>
  <si>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</si>
  <si>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</si>
  <si>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</si>
  <si>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</si>
  <si>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</si>
  <si>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</si>
  <si>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</si>
  <si>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</si>
  <si>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</si>
  <si>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</si>
  <si>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</si>
  <si>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</si>
  <si>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</si>
  <si>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</si>
  <si>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</si>
  <si>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</si>
  <si>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</si>
  <si>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</si>
  <si>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</si>
  <si>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</si>
  <si>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</si>
  <si>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</si>
  <si>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</si>
  <si>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</si>
  <si>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</si>
  <si>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</si>
  <si>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</si>
  <si>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</si>
  <si>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</si>
  <si>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</si>
  <si>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</si>
  <si>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</si>
  <si>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</si>
  <si>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</si>
  <si>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</si>
  <si>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</si>
  <si>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</si>
  <si>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</si>
  <si>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</si>
  <si>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</si>
  <si>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</si>
  <si>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</si>
  <si>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</si>
  <si>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</si>
  <si>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</si>
  <si>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</si>
  <si>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</si>
  <si>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</si>
  <si>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</si>
  <si>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</si>
  <si>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</si>
  <si>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</si>
  <si>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</si>
  <si>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</si>
  <si>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</si>
  <si>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</si>
  <si>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</si>
  <si>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</si>
  <si>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</si>
  <si>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</si>
  <si>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</si>
  <si>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</si>
  <si>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</si>
  <si>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</si>
  <si>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</si>
  <si>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</si>
  <si>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</si>
  <si>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</si>
  <si>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</si>
  <si>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</si>
  <si>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</si>
  <si>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</si>
  <si>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</si>
  <si>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</si>
  <si>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</si>
  <si>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</si>
  <si>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</si>
  <si>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</si>
  <si>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</si>
  <si>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</si>
  <si>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</si>
  <si>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</si>
  <si>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</si>
  <si>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</si>
  <si>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</si>
  <si>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</si>
  <si>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</si>
  <si>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</si>
  <si>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</si>
  <si>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</si>
  <si>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</si>
  <si>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</si>
  <si>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</si>
  <si>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</si>
  <si>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</si>
  <si>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</si>
  <si>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</si>
  <si>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</si>
  <si>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</si>
  <si>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</si>
  <si>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</si>
  <si>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</si>
  <si>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</si>
  <si>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</si>
  <si>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</si>
  <si>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</si>
  <si>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</si>
  <si>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</si>
  <si>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</si>
  <si>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</si>
  <si>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</si>
  <si>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</si>
  <si>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</si>
  <si>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</si>
  <si>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</si>
  <si>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</si>
  <si>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</si>
  <si>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</si>
  <si>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</si>
  <si>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</si>
  <si>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</si>
  <si>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</si>
  <si>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</si>
  <si>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</si>
  <si>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</si>
  <si>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</si>
  <si>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</si>
  <si>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</si>
  <si>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</si>
  <si>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</si>
  <si>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</si>
  <si>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</si>
  <si>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</si>
  <si>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</si>
  <si>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</si>
  <si>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</si>
  <si>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</si>
  <si>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</si>
  <si>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</si>
  <si>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</si>
  <si>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</si>
  <si>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</si>
  <si>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</si>
  <si>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</si>
  <si>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</si>
  <si>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</si>
  <si>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</si>
  <si>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</si>
  <si>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</si>
  <si>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</si>
  <si>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</si>
  <si>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</si>
  <si>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</si>
  <si>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</si>
  <si>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</si>
  <si>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</si>
  <si>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</si>
  <si>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</si>
  <si>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</si>
  <si>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</si>
  <si>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</si>
  <si>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</si>
  <si>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</si>
  <si>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</si>
  <si>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</si>
  <si>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</si>
  <si>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</si>
  <si>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</si>
  <si>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</si>
  <si>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</si>
  <si>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</si>
  <si>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</si>
  <si>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</si>
  <si>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</si>
  <si>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</si>
  <si>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</si>
  <si>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</si>
  <si>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</si>
  <si>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</si>
  <si>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</si>
  <si>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</si>
  <si>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</si>
  <si>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</si>
  <si>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</si>
  <si>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</si>
  <si>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</si>
  <si>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</si>
  <si>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</si>
  <si>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</si>
  <si>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</si>
  <si>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</si>
  <si>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</si>
  <si>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</si>
  <si>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</si>
  <si>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</si>
  <si>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</si>
  <si>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</si>
  <si>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</si>
  <si>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</si>
  <si>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</si>
  <si>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</si>
  <si>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</si>
  <si>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</si>
  <si>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</si>
  <si>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</si>
  <si>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</si>
  <si>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</si>
  <si>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</si>
  <si>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</si>
  <si>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</si>
  <si>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</si>
  <si>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</si>
  <si>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</si>
  <si>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</si>
  <si>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</si>
  <si>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</si>
  <si>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</si>
  <si>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</si>
  <si>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</si>
  <si>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</si>
  <si>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</si>
  <si>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</si>
  <si>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</si>
  <si>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</si>
  <si>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</si>
  <si>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</si>
  <si>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</si>
  <si>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</si>
  <si>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</si>
  <si>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</si>
  <si>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</si>
  <si>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</si>
  <si>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</si>
  <si>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</si>
  <si>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</si>
  <si>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</si>
  <si>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</si>
  <si>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</si>
  <si>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</si>
  <si>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</si>
  <si>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</si>
  <si>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</si>
  <si>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</si>
  <si>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</si>
  <si>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</si>
  <si>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</si>
  <si>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</si>
  <si>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</si>
  <si>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</si>
  <si>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</si>
  <si>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</si>
  <si>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</si>
  <si>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</si>
  <si>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</si>
  <si>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</si>
  <si>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</si>
  <si>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</si>
  <si>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</si>
  <si>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</si>
  <si>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</si>
  <si>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</si>
  <si>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</si>
  <si>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</si>
  <si>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</si>
  <si>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</si>
  <si>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</si>
  <si>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</si>
  <si>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</si>
  <si>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</si>
  <si>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</si>
  <si>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</si>
  <si>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</si>
  <si>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</si>
  <si>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</si>
  <si>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</si>
  <si>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</si>
  <si>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</si>
  <si>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</si>
  <si>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</si>
  <si>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</si>
  <si>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</si>
  <si>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</si>
  <si>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</si>
  <si>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</si>
  <si>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</si>
  <si>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</si>
  <si>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</si>
  <si>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</si>
  <si>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</si>
  <si>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</si>
  <si>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</si>
  <si>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</si>
  <si>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</si>
  <si>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</si>
  <si>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</si>
  <si>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</si>
  <si>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</si>
  <si>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</si>
  <si>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</si>
  <si>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</si>
  <si>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</si>
  <si>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</si>
  <si>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</si>
  <si>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</si>
  <si>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</si>
  <si>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</si>
  <si>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</si>
  <si>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</si>
  <si>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</si>
  <si>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</si>
  <si>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</si>
  <si>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</si>
  <si>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</si>
  <si>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</si>
  <si>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</si>
  <si>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</si>
  <si>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</si>
  <si>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</si>
  <si>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</si>
  <si>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</si>
  <si>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</si>
  <si>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</si>
  <si>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</si>
  <si>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</si>
  <si>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</si>
  <si>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</si>
  <si>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</si>
  <si>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</si>
  <si>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</si>
  <si>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</si>
  <si>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</si>
  <si>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</si>
  <si>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</si>
  <si>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</si>
  <si>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</si>
  <si>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</si>
  <si>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</si>
  <si>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</si>
  <si>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</si>
  <si>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</si>
  <si>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</si>
  <si>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</si>
  <si>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</si>
  <si>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</si>
  <si>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</si>
  <si>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</si>
  <si>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</si>
  <si>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</si>
  <si>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</si>
  <si>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</si>
  <si>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</si>
  <si>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</si>
  <si>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</si>
  <si>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</si>
  <si>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</si>
  <si>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</si>
  <si>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</si>
  <si>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</si>
  <si>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</si>
  <si>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</si>
  <si>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</si>
  <si>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</si>
  <si>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</si>
  <si>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</si>
  <si>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</si>
  <si>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</si>
  <si>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</si>
  <si>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</si>
  <si>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</si>
  <si>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</si>
  <si>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</si>
  <si>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</si>
  <si>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</si>
  <si>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</si>
  <si>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</si>
  <si>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</si>
  <si>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</si>
  <si>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</si>
  <si>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</si>
  <si>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</si>
  <si>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</si>
  <si>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</si>
  <si>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</si>
  <si>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</si>
  <si>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</si>
  <si>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</si>
  <si>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</si>
  <si>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</si>
  <si>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</si>
  <si>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</si>
  <si>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</si>
  <si>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</si>
  <si>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</si>
  <si>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</si>
  <si>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</si>
  <si>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</si>
  <si>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</si>
  <si>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</si>
  <si>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</si>
  <si>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</si>
  <si>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</si>
  <si>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</si>
  <si>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</si>
  <si>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</si>
  <si>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</si>
  <si>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</si>
  <si>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</si>
  <si>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</si>
  <si>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</si>
  <si>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</si>
  <si>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</si>
  <si>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</si>
  <si>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</si>
  <si>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</si>
  <si>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</si>
  <si>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</si>
  <si>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</si>
  <si>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</si>
  <si>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</si>
  <si>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</si>
  <si>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</si>
  <si>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</si>
  <si>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</si>
  <si>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</si>
  <si>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</si>
  <si>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</si>
  <si>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</si>
  <si>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</si>
  <si>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</si>
  <si>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</si>
  <si>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</si>
  <si>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</si>
  <si>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</si>
  <si>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</si>
  <si>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</si>
  <si>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</si>
  <si>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</si>
  <si>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</si>
  <si>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</si>
  <si>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</si>
  <si>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</si>
  <si>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</si>
  <si>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</si>
  <si>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</si>
  <si>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</si>
  <si>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</si>
  <si>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</si>
  <si>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</si>
  <si>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</si>
  <si>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</si>
  <si>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</si>
  <si>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</si>
  <si>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</si>
  <si>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</si>
  <si>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</si>
  <si>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</si>
  <si>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</si>
  <si>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</si>
  <si>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</si>
  <si>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</si>
  <si>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</si>
  <si>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</si>
  <si>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</si>
  <si>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</si>
  <si>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</si>
  <si>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</si>
  <si>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</si>
  <si>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</si>
  <si>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</si>
  <si>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</si>
  <si>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</si>
  <si>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</si>
  <si>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</si>
  <si>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</si>
  <si>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</si>
  <si>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</si>
  <si>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</si>
  <si>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</si>
  <si>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</si>
  <si>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</si>
  <si>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</si>
  <si>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</si>
  <si>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</si>
  <si>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</si>
  <si>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</si>
  <si>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</si>
  <si>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</si>
  <si>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</si>
  <si>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</si>
  <si>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</si>
  <si>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</si>
  <si>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</si>
  <si>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</si>
  <si>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</si>
  <si>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</si>
  <si>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</si>
  <si>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</si>
  <si>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</si>
  <si>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</si>
  <si>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</si>
  <si>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</si>
  <si>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</si>
  <si>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</si>
  <si>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</si>
  <si>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</si>
  <si>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</si>
  <si>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</si>
  <si>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</si>
  <si>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</si>
  <si>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</si>
  <si>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</si>
  <si>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</si>
  <si>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</si>
  <si>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</si>
  <si>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</si>
  <si>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</si>
  <si>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</si>
  <si>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</si>
  <si>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</si>
  <si>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</si>
  <si>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</si>
  <si>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</si>
  <si>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</si>
  <si>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</si>
  <si>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</si>
  <si>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</si>
  <si>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</si>
  <si>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</si>
  <si>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</si>
  <si>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</si>
  <si>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</si>
  <si>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</si>
  <si>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</si>
  <si>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</si>
  <si>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</si>
  <si>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</si>
  <si>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</si>
  <si>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</si>
  <si>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</si>
  <si>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</si>
  <si>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</si>
  <si>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</si>
  <si>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</si>
  <si>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</si>
  <si>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</si>
  <si>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</si>
  <si>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</si>
  <si>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</si>
  <si>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</si>
  <si>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</si>
  <si>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</si>
  <si>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</si>
  <si>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</si>
  <si>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</si>
  <si>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</si>
  <si>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</si>
  <si>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</si>
  <si>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</si>
  <si>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</si>
  <si>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</si>
  <si>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</si>
  <si>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</si>
  <si>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</si>
  <si>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</si>
  <si>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</si>
  <si>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</si>
  <si>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</si>
  <si>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</si>
  <si>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</si>
  <si>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</si>
  <si>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</si>
  <si>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</si>
  <si>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</si>
  <si>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</si>
  <si>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</si>
  <si>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</si>
  <si>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</si>
  <si>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</si>
  <si>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</si>
  <si>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</si>
  <si>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</si>
  <si>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</si>
  <si>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</si>
  <si>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</si>
  <si>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</si>
  <si>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</si>
  <si>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</si>
  <si>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</si>
  <si>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</si>
  <si>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</si>
  <si>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</si>
  <si>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</si>
  <si>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</si>
  <si>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</si>
  <si>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</si>
  <si>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</si>
  <si>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</si>
  <si>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</si>
  <si>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</si>
  <si>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</si>
  <si>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</si>
  <si>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</si>
  <si>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</si>
  <si>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</si>
  <si>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</si>
  <si>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</si>
  <si>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</si>
  <si>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</si>
  <si>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</si>
  <si>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</si>
  <si>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</si>
  <si>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</si>
  <si>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</si>
  <si>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</si>
  <si>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</si>
  <si>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</si>
  <si>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</si>
  <si>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</si>
  <si>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</si>
  <si>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</si>
  <si>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</si>
  <si>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</si>
  <si>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</si>
  <si>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</si>
  <si>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</si>
  <si>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</si>
  <si>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</si>
  <si>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</si>
  <si>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</si>
  <si>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</si>
  <si>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</si>
  <si>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</si>
  <si>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</si>
  <si>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</si>
  <si>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</si>
  <si>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</si>
  <si>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</si>
  <si>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</si>
  <si>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</si>
  <si>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</si>
  <si>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</si>
  <si>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</si>
  <si>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</si>
  <si>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</si>
  <si>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</si>
  <si>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</si>
  <si>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</si>
  <si>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</si>
  <si>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</si>
  <si>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</si>
  <si>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</si>
  <si>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</si>
  <si>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</si>
  <si>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</si>
  <si>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</si>
  <si>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</si>
  <si>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</si>
  <si>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</si>
  <si>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</si>
  <si>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</si>
  <si>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</si>
  <si>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</si>
  <si>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</si>
  <si>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</si>
  <si>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</si>
  <si>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</si>
  <si>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</si>
  <si>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</si>
  <si>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</si>
  <si>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</si>
  <si>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</si>
  <si>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</si>
  <si>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</si>
  <si>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</si>
  <si>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</si>
  <si>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</si>
  <si>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</si>
  <si>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</si>
  <si>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</si>
  <si>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</si>
  <si>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</si>
  <si>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</si>
  <si>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</si>
  <si>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</si>
  <si>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</si>
  <si>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</si>
  <si>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</si>
  <si>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</si>
  <si>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</si>
  <si>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</si>
  <si>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</si>
  <si>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</si>
  <si>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</si>
  <si>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</si>
  <si>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</si>
  <si>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</si>
  <si>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</si>
  <si>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</si>
  <si>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</si>
  <si>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</si>
  <si>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</si>
  <si>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</si>
  <si>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</si>
  <si>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</si>
  <si>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</si>
  <si>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</si>
  <si>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</si>
  <si>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</si>
  <si>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</si>
  <si>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</si>
  <si>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</si>
  <si>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</si>
  <si>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</si>
  <si>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</si>
  <si>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</si>
  <si>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</si>
  <si>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</si>
  <si>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</si>
  <si>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</si>
  <si>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</si>
  <si>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</si>
  <si>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</si>
  <si>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</si>
  <si>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</si>
  <si>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</si>
  <si>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</si>
  <si>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</si>
  <si>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</si>
  <si>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</si>
  <si>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</si>
  <si>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</si>
  <si>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</si>
  <si>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</si>
  <si>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</si>
  <si>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</si>
  <si>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</si>
  <si>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</si>
  <si>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</si>
  <si>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</si>
  <si>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</si>
  <si>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</si>
  <si>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</si>
  <si>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</si>
  <si>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</si>
  <si>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</si>
  <si>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</si>
  <si>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</si>
  <si>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</si>
  <si>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</si>
  <si>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</si>
  <si>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</si>
  <si>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</si>
  <si>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</si>
  <si>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</si>
  <si>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</si>
  <si>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</si>
  <si>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</si>
  <si>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</si>
  <si>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</si>
  <si>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</si>
  <si>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</si>
  <si>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</si>
  <si>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</si>
  <si>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</si>
  <si>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</si>
  <si>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</si>
  <si>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</si>
  <si>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</si>
  <si>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</si>
  <si>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</si>
  <si>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</si>
  <si>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</si>
  <si>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</si>
  <si>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</si>
  <si>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</si>
  <si>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</si>
  <si>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</si>
  <si>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</si>
  <si>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</si>
  <si>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</si>
  <si>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</si>
  <si>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</si>
  <si>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</si>
  <si>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</si>
  <si>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</si>
  <si>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</si>
  <si>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</si>
  <si>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</si>
  <si>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</si>
  <si>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</si>
  <si>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</si>
  <si>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</si>
  <si>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</si>
  <si>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</si>
  <si>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</si>
  <si>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</si>
  <si>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</si>
  <si>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</si>
  <si>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</si>
  <si>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</si>
  <si>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</si>
  <si>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</si>
  <si>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</si>
  <si>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</si>
  <si>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</si>
  <si>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</si>
  <si>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</si>
  <si>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</si>
  <si>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</si>
  <si>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</si>
  <si>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</si>
  <si>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</si>
  <si>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</si>
  <si>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</si>
  <si>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</si>
  <si>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</si>
  <si>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</si>
  <si>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</si>
  <si>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</si>
  <si>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</si>
  <si>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</si>
  <si>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</si>
  <si>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</si>
  <si>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</si>
  <si>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</si>
  <si>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</si>
  <si>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</si>
  <si>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</si>
  <si>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</si>
  <si>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</si>
  <si>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</si>
  <si>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</si>
  <si>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</si>
  <si>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</si>
  <si>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</si>
  <si>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</si>
  <si>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</si>
  <si>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</si>
  <si>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</si>
  <si>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</si>
  <si>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</si>
  <si>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</si>
  <si>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</si>
  <si>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</si>
  <si>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</si>
  <si>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</si>
  <si>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</si>
  <si>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</si>
  <si>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</si>
  <si>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</si>
  <si>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</si>
  <si>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</si>
  <si>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</si>
  <si>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</si>
  <si>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</si>
  <si>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</si>
  <si>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</si>
  <si>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</si>
  <si>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</si>
  <si>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</si>
  <si>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</si>
  <si>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</si>
  <si>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</si>
  <si>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</si>
  <si>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</si>
  <si>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</si>
  <si>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</si>
  <si>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</si>
  <si>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</si>
  <si>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</si>
  <si>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</si>
  <si>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</si>
  <si>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</si>
  <si>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</si>
  <si>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</si>
  <si>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</si>
  <si>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</si>
  <si>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</si>
  <si>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</si>
  <si>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</si>
  <si>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</si>
  <si>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</si>
  <si>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</si>
  <si>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</si>
  <si>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</si>
  <si>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</si>
  <si>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</si>
  <si>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</si>
  <si>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</si>
  <si>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</si>
  <si>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</si>
  <si>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</si>
  <si>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</si>
  <si>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</si>
  <si>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</si>
  <si>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</si>
  <si>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</si>
  <si>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</si>
  <si>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</si>
  <si>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</si>
  <si>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</si>
  <si>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</si>
  <si>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</si>
  <si>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</si>
  <si>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</si>
  <si>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</si>
  <si>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</si>
  <si>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</si>
  <si>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</si>
  <si>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</si>
  <si>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</si>
  <si>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</si>
  <si>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</si>
  <si>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</si>
  <si>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</si>
  <si>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</si>
  <si>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</si>
  <si>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</si>
  <si>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</si>
  <si>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</si>
  <si>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</si>
  <si>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</si>
  <si>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</si>
  <si>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</si>
  <si>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</si>
  <si>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</si>
  <si>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</si>
  <si>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</si>
  <si>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</si>
  <si>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</si>
  <si>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</si>
  <si>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</si>
  <si>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</si>
  <si>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</si>
  <si>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</si>
  <si>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</si>
  <si>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</si>
  <si>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</si>
  <si>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</si>
  <si>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</si>
  <si>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</si>
  <si>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</si>
  <si>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</si>
  <si>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</si>
  <si>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</si>
  <si>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</si>
  <si>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</si>
  <si>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</si>
  <si>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</si>
  <si>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</si>
  <si>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</si>
  <si>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</si>
  <si>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</si>
  <si>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</si>
  <si>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</si>
  <si>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</si>
  <si>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</si>
  <si>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</si>
  <si>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</si>
  <si>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</si>
  <si>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</si>
  <si>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</si>
  <si>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</si>
  <si>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</si>
  <si>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</si>
  <si>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</si>
  <si>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</si>
  <si>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</si>
  <si>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</si>
  <si>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</si>
  <si>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</si>
  <si>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</si>
  <si>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</si>
  <si>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</si>
  <si>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</si>
  <si>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</si>
  <si>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</si>
  <si>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</si>
  <si>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</si>
  <si>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</si>
  <si>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</si>
  <si>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</si>
  <si>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</si>
  <si>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</si>
  <si>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</si>
  <si>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</si>
  <si>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</si>
  <si>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</si>
  <si>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</si>
  <si>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</si>
  <si>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</si>
  <si>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</si>
  <si>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</si>
  <si>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</si>
  <si>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</si>
  <si>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</si>
  <si>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</si>
  <si>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</si>
  <si>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</si>
  <si>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</si>
  <si>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</si>
  <si>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</si>
  <si>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</si>
  <si>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</si>
  <si>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</si>
  <si>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</si>
  <si>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</si>
  <si>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</si>
  <si>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</si>
  <si>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</si>
  <si>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</si>
  <si>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</si>
  <si>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</si>
  <si>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</si>
  <si>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</si>
  <si>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</si>
  <si>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</si>
  <si>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</si>
  <si>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</si>
  <si>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</si>
  <si>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</si>
  <si>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</si>
  <si>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</si>
  <si>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</si>
  <si>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</si>
  <si>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</si>
  <si>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</si>
  <si>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</si>
  <si>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</si>
  <si>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</si>
  <si>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</si>
  <si>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</si>
  <si>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</si>
  <si>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</si>
  <si>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</si>
  <si>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</si>
  <si>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</si>
  <si>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</si>
  <si>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</si>
  <si>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</si>
  <si>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</si>
  <si>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</si>
  <si>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</si>
  <si>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</si>
  <si>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</si>
  <si>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</si>
  <si>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</si>
  <si>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</si>
  <si>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</si>
  <si>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</si>
  <si>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</si>
  <si>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</si>
  <si>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</si>
  <si>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</si>
  <si>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</si>
  <si>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</si>
  <si>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</si>
  <si>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</si>
  <si>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</si>
  <si>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</si>
  <si>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</si>
  <si>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</si>
  <si>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</si>
  <si>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</si>
  <si>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</si>
  <si>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</si>
  <si>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</si>
  <si>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</si>
  <si>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</si>
  <si>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</si>
  <si>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</si>
  <si>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</si>
  <si>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</si>
  <si>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</si>
  <si>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</si>
  <si>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</si>
  <si>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</si>
  <si>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</si>
  <si>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</si>
  <si>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</si>
  <si>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</si>
  <si>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</si>
  <si>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</si>
  <si>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</si>
  <si>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</si>
  <si>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</si>
  <si>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</si>
  <si>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</si>
  <si>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</si>
  <si>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</si>
  <si>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</si>
  <si>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</si>
  <si>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</si>
  <si>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</si>
  <si>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</si>
  <si>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</si>
  <si>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</si>
  <si>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</si>
  <si>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</si>
  <si>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</si>
  <si>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</si>
  <si>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</si>
  <si>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</si>
  <si>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</si>
  <si>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</si>
  <si>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</si>
  <si>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</si>
  <si>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</si>
  <si>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</si>
  <si>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</si>
  <si>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</si>
  <si>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</si>
  <si>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</si>
  <si>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</si>
  <si>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</si>
  <si>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</si>
  <si>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</si>
  <si>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</si>
  <si>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</si>
  <si>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</si>
  <si>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</si>
  <si>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</si>
  <si>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</si>
  <si>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</si>
  <si>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</si>
  <si>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</si>
  <si>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</si>
  <si>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</si>
  <si>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</si>
  <si>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</si>
  <si>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</si>
  <si>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</si>
  <si>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</si>
  <si>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</si>
  <si>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</si>
  <si>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</si>
  <si>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</si>
  <si>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</si>
  <si>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</si>
  <si>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</si>
  <si>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</si>
  <si>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</si>
  <si>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</si>
  <si>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</si>
  <si>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</si>
  <si>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</si>
  <si>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</si>
  <si>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</si>
  <si>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</si>
  <si>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</si>
  <si>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</si>
  <si>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</si>
  <si>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</si>
  <si>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</si>
  <si>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</si>
  <si>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</si>
  <si>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</si>
  <si>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</si>
  <si>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</si>
  <si>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</si>
  <si>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</si>
  <si>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</si>
  <si>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</si>
  <si>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</si>
  <si>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</si>
  <si>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</si>
  <si>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</si>
  <si>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</si>
  <si>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</si>
  <si>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</si>
  <si>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</si>
  <si>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</si>
  <si>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</si>
  <si>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</si>
  <si>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</si>
  <si>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</si>
  <si>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</si>
  <si>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</si>
  <si>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</si>
  <si>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</si>
  <si>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</si>
  <si>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</si>
  <si>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</si>
  <si>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</si>
  <si>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</si>
  <si>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</si>
  <si>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</si>
  <si>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</si>
  <si>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</si>
  <si>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</si>
  <si>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</si>
  <si>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</si>
  <si>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</si>
  <si>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</si>
  <si>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</si>
  <si>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</si>
  <si>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</si>
  <si>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</si>
  <si>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</si>
  <si>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</si>
  <si>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</si>
  <si>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</si>
  <si>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</si>
  <si>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</si>
  <si>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</si>
  <si>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</si>
  <si>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</si>
  <si>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</si>
  <si>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</si>
  <si>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</si>
  <si>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</si>
  <si>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</si>
  <si>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</si>
  <si>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</si>
  <si>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</si>
  <si>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</si>
  <si>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</si>
  <si>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</si>
  <si>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</si>
  <si>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</si>
  <si>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</si>
  <si>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</si>
  <si>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</si>
  <si>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</si>
  <si>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</si>
  <si>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</si>
  <si>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</si>
  <si>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</si>
  <si>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</si>
  <si>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</si>
  <si>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</si>
  <si>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</si>
  <si>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</si>
  <si>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</si>
  <si>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</si>
  <si>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</si>
  <si>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</si>
  <si>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</si>
  <si>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</si>
  <si>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</si>
  <si>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</si>
  <si>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</si>
  <si>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</si>
  <si>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</si>
  <si>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</si>
  <si>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</si>
  <si>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</si>
  <si>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</si>
  <si>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</si>
  <si>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</si>
  <si>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</si>
  <si>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</si>
  <si>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</si>
  <si>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</si>
  <si>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</si>
  <si>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</si>
  <si>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</si>
  <si>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</si>
  <si>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</si>
  <si>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</si>
  <si>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</si>
  <si>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</si>
  <si>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</si>
  <si>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</si>
  <si>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</si>
  <si>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</si>
  <si>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</si>
  <si>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</si>
  <si>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</si>
  <si>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</si>
  <si>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</si>
  <si>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</si>
  <si>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</si>
  <si>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</si>
  <si>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</si>
  <si>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</si>
  <si>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</si>
  <si>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</si>
  <si>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</si>
  <si>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</si>
  <si>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</si>
  <si>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</si>
  <si>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</si>
  <si>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</si>
  <si>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</si>
  <si>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</si>
  <si>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</si>
  <si>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</si>
  <si>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</si>
  <si>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</si>
  <si>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</si>
  <si>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</si>
  <si>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</si>
  <si>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</si>
  <si>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</si>
  <si>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</si>
  <si>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</si>
  <si>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</si>
  <si>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</si>
  <si>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</si>
  <si>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</si>
  <si>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</si>
  <si>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</si>
  <si>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</si>
  <si>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</si>
  <si>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</si>
  <si>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</si>
  <si>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</si>
  <si>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</si>
  <si>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</si>
  <si>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</si>
  <si>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</si>
  <si>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</si>
  <si>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</si>
  <si>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</si>
  <si>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</si>
  <si>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</si>
  <si>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</si>
  <si>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</si>
  <si>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</si>
  <si>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</si>
  <si>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</si>
  <si>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</si>
  <si>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</si>
  <si>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</si>
  <si>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</si>
  <si>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</si>
  <si>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</si>
  <si>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</si>
  <si>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</si>
  <si>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</si>
  <si>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</si>
  <si>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</si>
  <si>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</si>
  <si>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</si>
  <si>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</si>
  <si>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</si>
  <si>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</si>
  <si>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</si>
  <si>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</si>
  <si>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</si>
  <si>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</si>
  <si>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</si>
  <si>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</si>
  <si>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</si>
  <si>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</si>
  <si>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</si>
  <si>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</si>
  <si>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</si>
  <si>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</si>
  <si>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</si>
  <si>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</si>
  <si>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</si>
  <si>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</si>
  <si>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</si>
  <si>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</si>
  <si>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</si>
  <si>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</si>
  <si>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</si>
  <si>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</si>
  <si>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</si>
  <si>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</si>
  <si>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</si>
  <si>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</si>
  <si>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</si>
  <si>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</si>
  <si>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</si>
  <si>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</si>
  <si>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</si>
  <si>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</si>
  <si>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</si>
  <si>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</si>
  <si>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</si>
  <si>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</si>
  <si>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</si>
  <si>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</si>
  <si>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</si>
  <si>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</si>
  <si>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</si>
  <si>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</si>
  <si>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</si>
  <si>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</si>
  <si>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</si>
  <si>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</si>
  <si>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</si>
  <si>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</si>
  <si>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</si>
  <si>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</si>
  <si>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</si>
  <si>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</si>
  <si>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</si>
  <si>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</si>
  <si>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</si>
  <si>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</si>
  <si>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</si>
  <si>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</si>
  <si>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</si>
  <si>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</si>
  <si>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</si>
  <si>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</si>
  <si>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</si>
  <si>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</si>
  <si>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</si>
  <si>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</si>
  <si>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</si>
  <si>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</si>
  <si>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</si>
  <si>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</si>
  <si>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</si>
  <si>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</si>
  <si>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</si>
  <si>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</si>
  <si>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</si>
  <si>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</si>
  <si>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</si>
  <si>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</si>
  <si>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</si>
  <si>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</si>
  <si>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</si>
  <si>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</si>
  <si>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</si>
  <si>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</si>
  <si>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</si>
  <si>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</si>
  <si>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</si>
  <si>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</si>
  <si>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</si>
  <si>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</si>
  <si>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</si>
  <si>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</si>
  <si>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</si>
  <si>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</si>
  <si>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</si>
  <si>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</si>
  <si>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</si>
  <si>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</si>
  <si>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</si>
  <si>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</si>
  <si>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</si>
  <si>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</si>
  <si>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</si>
  <si>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</si>
  <si>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</si>
  <si>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</si>
  <si>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</si>
  <si>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</si>
  <si>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</si>
  <si>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</si>
  <si>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</si>
  <si>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</si>
  <si>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</si>
  <si>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</si>
  <si>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</si>
  <si>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</si>
  <si>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</si>
  <si>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</si>
  <si>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</si>
  <si>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</si>
  <si>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</si>
  <si>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</si>
  <si>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</si>
  <si>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</si>
  <si>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</si>
  <si>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</si>
  <si>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</si>
  <si>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</si>
  <si>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</si>
  <si>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</si>
  <si>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</si>
  <si>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</si>
  <si>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</si>
  <si>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</si>
  <si>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</si>
  <si>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</si>
  <si>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</si>
  <si>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</si>
  <si>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</si>
  <si>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</si>
  <si>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</si>
  <si>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</si>
  <si>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</si>
  <si>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</si>
  <si>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</si>
  <si>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</si>
  <si>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</si>
  <si>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</si>
  <si>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</si>
  <si>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</si>
  <si>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</si>
  <si>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</si>
  <si>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</si>
  <si>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</si>
  <si>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</si>
  <si>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</si>
  <si>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</si>
  <si>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</si>
  <si>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</si>
  <si>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</si>
  <si>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</si>
  <si>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</si>
  <si>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</si>
  <si>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</si>
  <si>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</si>
  <si>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</si>
  <si>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</si>
  <si>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</si>
  <si>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</si>
  <si>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</si>
  <si>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</si>
  <si>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</si>
  <si>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</si>
  <si>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</si>
  <si>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</si>
  <si>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</si>
  <si>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</si>
  <si>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</si>
  <si>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</si>
  <si>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</si>
  <si>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</si>
  <si>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</si>
  <si>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</si>
  <si>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</si>
  <si>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</si>
  <si>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</si>
  <si>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</si>
  <si>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</si>
  <si>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</si>
  <si>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</si>
  <si>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</si>
  <si>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</si>
  <si>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</si>
  <si>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</si>
  <si>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</si>
  <si>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</si>
  <si>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</si>
  <si>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</si>
  <si>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</si>
  <si>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</si>
  <si>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</si>
  <si>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</si>
  <si>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</si>
  <si>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</si>
  <si>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</si>
  <si>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</si>
  <si>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</si>
  <si>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</si>
  <si>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</si>
  <si>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</si>
  <si>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</si>
  <si>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</si>
  <si>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</si>
  <si>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</si>
  <si>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</si>
  <si>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</si>
  <si>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</si>
  <si>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</si>
  <si>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</si>
  <si>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</si>
  <si>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</si>
  <si>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</si>
  <si>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</si>
  <si>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</si>
  <si>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</si>
  <si>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</si>
  <si>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</si>
  <si>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</si>
  <si>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</si>
  <si>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</si>
  <si>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</si>
  <si>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</si>
  <si>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</si>
  <si>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</si>
  <si>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</si>
  <si>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</si>
  <si>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</si>
  <si>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</si>
  <si>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</si>
  <si>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</si>
  <si>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</si>
  <si>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</si>
  <si>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</si>
  <si>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</si>
  <si>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</si>
  <si>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</si>
  <si>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</si>
  <si>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</si>
  <si>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</si>
  <si>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</si>
  <si>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</si>
  <si>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</si>
  <si>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</si>
  <si>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</si>
  <si>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</si>
  <si>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</si>
  <si>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</si>
  <si>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</si>
  <si>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</si>
  <si>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</si>
  <si>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</si>
  <si>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</si>
  <si>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</si>
  <si>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</si>
  <si>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</si>
  <si>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</si>
  <si>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</si>
  <si>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</si>
  <si>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</si>
  <si>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</si>
  <si>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</si>
  <si>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</si>
  <si>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</si>
  <si>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</si>
  <si>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</si>
  <si>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</si>
  <si>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</si>
  <si>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</si>
  <si>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</si>
  <si>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</si>
  <si>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</si>
  <si>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</si>
  <si>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</si>
  <si>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</si>
  <si>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</si>
  <si>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</si>
  <si>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</si>
  <si>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</si>
  <si>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</si>
  <si>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</si>
  <si>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</si>
  <si>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</si>
  <si>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</si>
  <si>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</si>
  <si>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</si>
  <si>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</si>
  <si>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</si>
  <si>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</si>
  <si>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</si>
  <si>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</si>
  <si>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</si>
  <si>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</si>
  <si>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</si>
  <si>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</si>
  <si>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</si>
  <si>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</si>
  <si>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</si>
  <si>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</si>
  <si>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</si>
  <si>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</si>
  <si>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</si>
  <si>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</si>
  <si>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</si>
  <si>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</si>
  <si>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</si>
  <si>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</si>
  <si>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</si>
  <si>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</si>
  <si>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</si>
  <si>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</si>
  <si>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</si>
  <si>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</si>
  <si>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</si>
  <si>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</si>
  <si>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</si>
  <si>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</si>
  <si>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</si>
  <si>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</si>
  <si>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</si>
  <si>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</si>
  <si>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</si>
  <si>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</si>
  <si>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</si>
  <si>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</si>
  <si>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</si>
  <si>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</si>
  <si>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</si>
  <si>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</si>
  <si>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</si>
  <si>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</si>
  <si>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</si>
  <si>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</si>
  <si>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</si>
  <si>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</si>
  <si>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</si>
  <si>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</si>
  <si>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</si>
  <si>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</si>
  <si>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</si>
  <si>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</si>
  <si>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</si>
  <si>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</si>
  <si>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</si>
  <si>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</si>
  <si>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</si>
  <si>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</si>
  <si>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</si>
  <si>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</si>
  <si>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</si>
  <si>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</si>
  <si>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</si>
  <si>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</si>
  <si>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</si>
  <si>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</si>
  <si>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</si>
  <si>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</si>
  <si>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</si>
  <si>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</si>
  <si>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</si>
  <si>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</si>
  <si>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</si>
  <si>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</si>
  <si>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</si>
  <si>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</si>
  <si>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</si>
  <si>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</si>
  <si>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</si>
  <si>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</si>
  <si>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</si>
  <si>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</si>
  <si>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</si>
  <si>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</si>
  <si>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</si>
  <si>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</si>
  <si>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</si>
  <si>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</si>
  <si>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</si>
  <si>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</si>
  <si>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</si>
  <si>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</si>
  <si>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</si>
  <si>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</si>
  <si>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</si>
  <si>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</si>
  <si>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</si>
  <si>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</si>
  <si>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</si>
  <si>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</si>
  <si>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</si>
  <si>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</si>
  <si>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</si>
  <si>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</si>
  <si>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</si>
  <si>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</si>
  <si>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</si>
  <si>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</si>
  <si>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</si>
  <si>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</si>
  <si>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</si>
  <si>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</si>
  <si>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</si>
  <si>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</si>
  <si>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</si>
  <si>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</si>
  <si>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</si>
  <si>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</si>
  <si>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</si>
  <si>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</si>
  <si>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</si>
  <si>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</si>
  <si>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</si>
  <si>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</si>
  <si>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</si>
  <si>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</si>
  <si>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</si>
  <si>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</si>
  <si>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</si>
  <si>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</si>
  <si>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</si>
  <si>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</si>
  <si>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</si>
  <si>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</si>
  <si>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</si>
  <si>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</si>
  <si>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</si>
  <si>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</si>
  <si>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</si>
  <si>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</si>
  <si>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</si>
  <si>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</si>
  <si>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</si>
  <si>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</si>
  <si>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</si>
  <si>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</si>
  <si>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</si>
  <si>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</si>
  <si>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</si>
  <si>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</si>
  <si>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</si>
  <si>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</si>
  <si>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</si>
  <si>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</si>
  <si>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</si>
  <si>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</si>
  <si>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</si>
  <si>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</si>
  <si>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</si>
  <si>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</si>
  <si>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</si>
  <si>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</si>
  <si>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</si>
  <si>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</si>
  <si>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</si>
  <si>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</si>
  <si>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</si>
  <si>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</si>
  <si>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</si>
  <si>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</si>
  <si>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</si>
  <si>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</si>
  <si>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</si>
  <si>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</si>
  <si>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</si>
  <si>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</si>
  <si>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</si>
  <si>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</si>
  <si>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</si>
  <si>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</si>
  <si>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</si>
  <si>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</si>
  <si>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</si>
  <si>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</si>
  <si>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</si>
  <si>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</si>
  <si>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</si>
  <si>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</si>
  <si>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</si>
  <si>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</si>
  <si>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</si>
  <si>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</si>
  <si>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</si>
  <si>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</si>
  <si>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</si>
  <si>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</si>
  <si>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</si>
  <si>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</si>
  <si>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</si>
  <si>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</si>
  <si>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</si>
  <si>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</si>
  <si>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</si>
  <si>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</si>
  <si>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</si>
  <si>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</si>
  <si>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</si>
  <si>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</si>
  <si>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</si>
  <si>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</si>
  <si>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</si>
  <si>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</si>
  <si>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</si>
  <si>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</si>
  <si>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</si>
  <si>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</si>
  <si>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</si>
  <si>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</si>
  <si>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</si>
  <si>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</si>
  <si>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</si>
  <si>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</si>
  <si>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</si>
  <si>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</si>
  <si>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</si>
  <si>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</si>
  <si>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</si>
  <si>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</si>
  <si>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</si>
  <si>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</si>
  <si>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</si>
  <si>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</si>
  <si>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</si>
  <si>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</si>
  <si>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</si>
  <si>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</si>
  <si>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</si>
  <si>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</si>
  <si>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</si>
  <si>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</si>
  <si>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</si>
  <si>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</si>
  <si>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</si>
  <si>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</si>
  <si>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</si>
  <si>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</si>
  <si>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</si>
  <si>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</si>
  <si>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</si>
  <si>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</si>
  <si>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</si>
  <si>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</si>
  <si>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</si>
  <si>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</si>
  <si>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</si>
  <si>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</si>
  <si>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</si>
  <si>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</si>
  <si>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</si>
  <si>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</si>
  <si>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</si>
  <si>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</si>
  <si>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</si>
  <si>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</si>
  <si>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</si>
  <si>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</si>
  <si>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</si>
  <si>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</si>
  <si>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</si>
  <si>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</si>
  <si>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</si>
  <si>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</si>
  <si>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</si>
  <si>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</si>
  <si>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</si>
  <si>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</si>
  <si>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</si>
  <si>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</si>
  <si>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</si>
  <si>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</si>
  <si>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</si>
  <si>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</si>
  <si>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</si>
  <si>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</si>
  <si>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</si>
  <si>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</si>
  <si>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</si>
  <si>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</si>
  <si>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</si>
  <si>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</si>
  <si>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</si>
  <si>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</si>
  <si>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</si>
  <si>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</si>
  <si>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</si>
  <si>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</si>
  <si>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</si>
  <si>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</si>
  <si>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</si>
  <si>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</si>
  <si>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</si>
  <si>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</si>
  <si>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</si>
  <si>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</si>
  <si>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</si>
  <si>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</si>
  <si>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</si>
  <si>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</si>
  <si>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</si>
  <si>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</si>
  <si>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</si>
  <si>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</si>
  <si>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</si>
  <si>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</si>
  <si>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</si>
  <si>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</si>
  <si>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</si>
  <si>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</si>
  <si>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</si>
  <si>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</si>
  <si>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</si>
  <si>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</si>
  <si>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</si>
  <si>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</si>
  <si>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</si>
  <si>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</si>
  <si>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</si>
  <si>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</si>
  <si>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</si>
  <si>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</si>
  <si>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</si>
  <si>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</si>
  <si>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</si>
  <si>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</si>
  <si>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</si>
  <si>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</si>
  <si>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</si>
  <si>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</si>
  <si>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</si>
  <si>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</si>
  <si>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</si>
  <si>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</si>
  <si>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</si>
  <si>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</si>
  <si>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</si>
  <si>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</si>
  <si>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</si>
  <si>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</si>
  <si>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</si>
  <si>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</si>
  <si>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</si>
  <si>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</si>
  <si>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</si>
  <si>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</si>
  <si>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</si>
  <si>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</si>
  <si>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</si>
  <si>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</si>
  <si>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</si>
  <si>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</si>
  <si>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</si>
  <si>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</si>
  <si>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</si>
  <si>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</si>
  <si>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</si>
  <si>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</si>
  <si>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</si>
  <si>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</si>
  <si>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</si>
  <si>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</si>
  <si>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</si>
  <si>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</si>
  <si>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</si>
  <si>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</si>
  <si>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</si>
  <si>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</si>
  <si>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</si>
  <si>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</si>
  <si>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</si>
  <si>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</si>
  <si>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</si>
  <si>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</si>
  <si>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</si>
  <si>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</si>
  <si>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</si>
  <si>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</si>
  <si>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</si>
  <si>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</si>
  <si>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</si>
  <si>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</si>
  <si>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</si>
  <si>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</si>
  <si>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</si>
  <si>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</si>
  <si>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</si>
  <si>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</si>
  <si>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</si>
  <si>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</si>
  <si>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</si>
  <si>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</si>
  <si>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</si>
  <si>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</si>
  <si>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</si>
  <si>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</si>
  <si>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</si>
  <si>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</si>
  <si>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</si>
  <si>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</si>
  <si>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</si>
  <si>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</si>
  <si>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</si>
  <si>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</si>
  <si>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</si>
  <si>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</si>
  <si>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</si>
  <si>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</si>
  <si>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</si>
  <si>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</si>
  <si>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</si>
  <si>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</si>
  <si>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</si>
  <si>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</si>
  <si>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</si>
  <si>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</si>
  <si>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</si>
  <si>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</si>
  <si>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</si>
  <si>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</si>
  <si>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</si>
  <si>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</si>
  <si>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</si>
  <si>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</si>
  <si>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</si>
  <si>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</si>
  <si>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</si>
  <si>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</si>
  <si>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</si>
  <si>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</si>
  <si>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</si>
  <si>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</si>
  <si>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</si>
  <si>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</si>
  <si>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</si>
  <si>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</si>
  <si>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</si>
  <si>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</si>
  <si>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</si>
  <si>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</si>
  <si>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</si>
  <si>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</si>
  <si>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</si>
  <si>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</si>
  <si>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</si>
  <si>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</si>
  <si>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</si>
  <si>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</si>
  <si>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</si>
  <si>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</si>
  <si>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</si>
  <si>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</si>
  <si>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</si>
  <si>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</si>
  <si>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</si>
  <si>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</si>
  <si>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</si>
  <si>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</si>
  <si>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</si>
  <si>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</si>
  <si>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</si>
  <si>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</si>
  <si>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</si>
  <si>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</si>
  <si>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</si>
  <si>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</si>
  <si>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</si>
  <si>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</si>
  <si>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</si>
  <si>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</si>
  <si>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</si>
  <si>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</si>
  <si>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</si>
  <si>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</si>
  <si>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</si>
  <si>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</si>
  <si>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</si>
  <si>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</si>
  <si>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</si>
  <si>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</si>
  <si>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</si>
  <si>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</si>
  <si>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</si>
  <si>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</si>
  <si>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</si>
  <si>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</si>
  <si>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</si>
  <si>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</si>
  <si>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</si>
  <si>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</si>
  <si>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</si>
  <si>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</si>
  <si>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</si>
  <si>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</si>
  <si>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</si>
  <si>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</si>
  <si>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</si>
  <si>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</si>
  <si>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</si>
  <si>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</si>
  <si>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</si>
  <si>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</si>
  <si>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</si>
  <si>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</si>
  <si>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</si>
  <si>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</si>
  <si>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</si>
  <si>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</si>
  <si>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</si>
  <si>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</si>
  <si>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</si>
  <si>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</si>
  <si>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</si>
  <si>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</si>
  <si>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</si>
  <si>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</si>
  <si>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</si>
  <si>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</si>
  <si>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</si>
  <si>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</si>
  <si>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</si>
  <si>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</si>
  <si>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</si>
  <si>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</si>
  <si>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</si>
  <si>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</si>
  <si>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</si>
  <si>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</si>
  <si>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</si>
  <si>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</si>
  <si>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</si>
  <si>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</si>
  <si>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</si>
  <si>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</si>
  <si>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</si>
  <si>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</si>
  <si>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</si>
  <si>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</si>
  <si>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</si>
  <si>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</si>
  <si>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</si>
  <si>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</si>
  <si>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</si>
  <si>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</si>
  <si>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</si>
  <si>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</si>
  <si>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</si>
  <si>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</si>
  <si>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</si>
  <si>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</si>
  <si>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</si>
  <si>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</si>
  <si>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</si>
  <si>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</si>
  <si>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</si>
  <si>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</si>
  <si>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</si>
  <si>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</si>
  <si>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</si>
  <si>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</si>
  <si>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</si>
  <si>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</si>
  <si>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</si>
  <si>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</si>
  <si>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</si>
  <si>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</si>
  <si>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</si>
  <si>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</si>
  <si>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</si>
  <si>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</si>
  <si>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</si>
  <si>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</si>
  <si>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</si>
  <si>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</si>
  <si>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</si>
  <si>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</si>
  <si>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</si>
  <si>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</si>
  <si>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</si>
  <si>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</si>
  <si>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</si>
  <si>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</si>
  <si>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</si>
  <si>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</si>
  <si>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</si>
  <si>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</si>
  <si>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</si>
  <si>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</si>
  <si>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</si>
  <si>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</si>
  <si>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</si>
  <si>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</si>
  <si>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</si>
  <si>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</si>
  <si>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</si>
  <si>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</si>
  <si>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</si>
  <si>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</si>
  <si>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</si>
  <si>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</si>
  <si>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</si>
  <si>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</si>
  <si>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</si>
  <si>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</si>
  <si>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</si>
  <si>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</si>
  <si>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</si>
  <si>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</si>
  <si>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</si>
  <si>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</si>
  <si>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</si>
  <si>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</si>
  <si>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</si>
  <si>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</si>
  <si>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</si>
  <si>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</si>
  <si>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</si>
  <si>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</si>
  <si>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</si>
  <si>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</si>
  <si>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</si>
  <si>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</si>
  <si>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</si>
  <si>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</si>
  <si>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</si>
  <si>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</si>
  <si>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</si>
  <si>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</si>
  <si>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</si>
  <si>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</si>
  <si>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</si>
  <si>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</si>
  <si>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</si>
  <si>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</si>
  <si>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</si>
  <si>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</si>
  <si>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</si>
  <si>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</si>
  <si>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</si>
  <si>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</si>
  <si>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</si>
  <si>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</si>
  <si>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</si>
  <si>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</si>
  <si>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</si>
  <si>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</si>
  <si>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</si>
  <si>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</si>
  <si>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</si>
  <si>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</si>
  <si>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</si>
  <si>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</si>
  <si>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</si>
  <si>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</si>
  <si>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</si>
  <si>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</si>
  <si>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</si>
  <si>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</si>
  <si>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</si>
  <si>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</si>
  <si>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</si>
  <si>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</si>
  <si>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</si>
  <si>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</si>
  <si>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</si>
  <si>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</si>
  <si>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</si>
  <si>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</si>
  <si>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</si>
  <si>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</si>
  <si>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</si>
  <si>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</si>
  <si>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</si>
  <si>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</si>
  <si>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</si>
  <si>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</si>
  <si>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</si>
  <si>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</si>
  <si>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</si>
  <si>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</si>
  <si>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</si>
  <si>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</si>
  <si>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</si>
  <si>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</si>
  <si>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</si>
  <si>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</si>
  <si>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</si>
  <si>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</si>
  <si>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</si>
  <si>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</si>
  <si>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</si>
  <si>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</si>
  <si>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</si>
  <si>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</si>
  <si>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</si>
  <si>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</si>
  <si>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</si>
  <si>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</si>
  <si>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</si>
  <si>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</si>
  <si>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</si>
  <si>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</si>
  <si>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</si>
  <si>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</si>
  <si>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</si>
  <si>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</si>
  <si>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</si>
  <si>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</si>
  <si>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</si>
  <si>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</si>
  <si>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</si>
  <si>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</si>
  <si>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</si>
  <si>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</si>
  <si>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</si>
  <si>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</si>
  <si>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</si>
  <si>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</si>
  <si>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</si>
  <si>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</si>
  <si>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</si>
  <si>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</si>
  <si>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</si>
  <si>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</si>
  <si>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</si>
  <si>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</si>
  <si>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</si>
  <si>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</si>
  <si>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</si>
  <si>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</si>
  <si>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</si>
  <si>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</si>
  <si>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</si>
  <si>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</si>
  <si>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</si>
  <si>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</si>
  <si>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</si>
  <si>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</si>
  <si>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</si>
  <si>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</si>
  <si>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</si>
  <si>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</si>
  <si>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</si>
  <si>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</si>
  <si>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</si>
  <si>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</si>
  <si>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</si>
  <si>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</si>
  <si>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</si>
  <si>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</si>
  <si>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</si>
  <si>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</si>
  <si>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</si>
  <si>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</si>
  <si>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</si>
  <si>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</si>
  <si>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</si>
  <si>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</si>
  <si>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</si>
  <si>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</si>
  <si>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</si>
  <si>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</si>
  <si>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</si>
  <si>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</si>
  <si>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</si>
  <si>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</si>
  <si>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</si>
  <si>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</si>
  <si>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</si>
  <si>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</si>
  <si>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</si>
  <si>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</si>
  <si>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</si>
  <si>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</si>
  <si>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</si>
  <si>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</si>
  <si>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</si>
  <si>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</si>
  <si>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</si>
  <si>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</si>
  <si>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</si>
  <si>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</si>
  <si>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</si>
  <si>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</si>
  <si>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</si>
  <si>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</si>
  <si>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</si>
  <si>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</si>
  <si>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</si>
  <si>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</si>
  <si>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</si>
  <si>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</si>
  <si>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</si>
  <si>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</si>
  <si>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</si>
  <si>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</si>
  <si>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</si>
  <si>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</si>
  <si>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</si>
  <si>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</si>
  <si>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</si>
  <si>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</si>
  <si>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</si>
  <si>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</si>
  <si>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</si>
  <si>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</si>
  <si>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</si>
  <si>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</si>
  <si>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</si>
  <si>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</si>
  <si>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</si>
  <si>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</si>
  <si>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</si>
  <si>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</si>
  <si>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</si>
  <si>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</si>
  <si>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</si>
  <si>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</si>
  <si>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</si>
  <si>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</si>
  <si>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</si>
  <si>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</si>
  <si>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</si>
  <si>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</si>
  <si>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</si>
  <si>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</si>
  <si>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</si>
  <si>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</si>
  <si>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</si>
  <si>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</si>
  <si>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</si>
  <si>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</si>
  <si>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</si>
  <si>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</si>
  <si>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</si>
  <si>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</si>
  <si>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</si>
  <si>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</si>
  <si>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</si>
  <si>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</si>
  <si>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</si>
  <si>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</si>
  <si>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</si>
  <si>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</si>
  <si>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</si>
  <si>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</si>
  <si>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</si>
  <si>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</si>
  <si>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</si>
  <si>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</si>
  <si>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</si>
  <si>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</si>
  <si>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</si>
  <si>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</si>
  <si>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</si>
  <si>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</si>
  <si>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</si>
  <si>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</si>
  <si>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</si>
  <si>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</si>
  <si>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</si>
  <si>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</si>
  <si>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</si>
  <si>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</si>
  <si>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</si>
  <si>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</si>
  <si>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</si>
  <si>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</si>
  <si>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</si>
  <si>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</si>
  <si>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</si>
  <si>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</si>
  <si>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</si>
  <si>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</si>
  <si>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</si>
  <si>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</si>
  <si>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</si>
  <si>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</si>
  <si>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</si>
  <si>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</si>
  <si>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</si>
  <si>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</si>
  <si>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</si>
  <si>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</si>
  <si>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</si>
  <si>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</si>
  <si>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</si>
  <si>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</si>
  <si>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</si>
  <si>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</si>
  <si>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</si>
  <si>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</si>
  <si>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</si>
  <si>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</si>
  <si>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</si>
  <si>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</si>
  <si>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</si>
  <si>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</si>
  <si>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</si>
  <si>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</si>
  <si>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</si>
  <si>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</si>
  <si>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</si>
  <si>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</si>
  <si>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</si>
  <si>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</si>
  <si>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</si>
  <si>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</si>
  <si>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</si>
  <si>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</si>
  <si>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</si>
  <si>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</si>
  <si>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</si>
  <si>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</si>
  <si>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</si>
  <si>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</si>
  <si>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</si>
  <si>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</si>
  <si>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</si>
  <si>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</si>
  <si>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</si>
  <si>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</si>
  <si>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</si>
  <si>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</si>
  <si>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</si>
  <si>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</si>
  <si>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</si>
  <si>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</si>
  <si>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</si>
  <si>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</si>
  <si>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</si>
  <si>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</si>
  <si>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</si>
  <si>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</si>
  <si>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</si>
  <si>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</si>
  <si>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</si>
  <si>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</si>
  <si>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</si>
  <si>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</si>
  <si>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</si>
  <si>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</si>
  <si>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</si>
  <si>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</si>
  <si>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</si>
  <si>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</si>
  <si>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</si>
  <si>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</si>
  <si>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</si>
  <si>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</si>
  <si>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</si>
  <si>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</si>
  <si>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</si>
  <si>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</si>
  <si>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</si>
  <si>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</si>
  <si>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</si>
  <si>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</si>
  <si>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</si>
  <si>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</si>
  <si>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</si>
  <si>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</si>
  <si>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</si>
  <si>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</si>
  <si>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</si>
  <si>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</si>
  <si>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</si>
  <si>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</si>
  <si>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</si>
  <si>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</si>
  <si>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</si>
  <si>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</si>
  <si>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</si>
  <si>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</si>
  <si>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</si>
  <si>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</si>
  <si>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</si>
  <si>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</si>
  <si>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</si>
  <si>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</si>
  <si>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</si>
  <si>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</si>
  <si>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</si>
  <si>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</si>
  <si>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</si>
  <si>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</si>
  <si>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</si>
  <si>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</si>
  <si>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</si>
  <si>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</si>
  <si>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</si>
  <si>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</si>
  <si>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</si>
  <si>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</si>
  <si>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</si>
  <si>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</si>
  <si>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</si>
  <si>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</si>
  <si>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</si>
  <si>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</si>
  <si>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</si>
  <si>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</si>
  <si>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</si>
  <si>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</si>
  <si>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</si>
  <si>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</si>
  <si>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</si>
  <si>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</si>
  <si>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</si>
  <si>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</si>
  <si>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</si>
  <si>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</si>
  <si>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</si>
  <si>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</si>
  <si>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</si>
  <si>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</si>
  <si>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</si>
  <si>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</si>
  <si>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</si>
  <si>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</si>
  <si>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</si>
  <si>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</si>
  <si>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</si>
  <si>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</si>
  <si>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</si>
  <si>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</si>
  <si>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</si>
  <si>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</si>
  <si>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</si>
  <si>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</si>
  <si>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</si>
  <si>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</si>
  <si>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</si>
  <si>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</si>
  <si>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</si>
  <si>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</si>
  <si>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</si>
  <si>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</si>
  <si>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</si>
  <si>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</si>
  <si>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</si>
  <si>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</si>
  <si>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</si>
  <si>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</si>
  <si>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</si>
  <si>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</si>
  <si>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</si>
  <si>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</si>
  <si>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</si>
  <si>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</si>
  <si>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</si>
  <si>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</si>
  <si>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</si>
  <si>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</si>
  <si>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</si>
  <si>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</si>
  <si>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</si>
  <si>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</si>
  <si>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</si>
  <si>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</si>
  <si>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</si>
  <si>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</si>
  <si>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</si>
  <si>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</si>
  <si>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</si>
  <si>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</si>
  <si>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</si>
  <si>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</si>
  <si>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</si>
  <si>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</si>
  <si>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</si>
  <si>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</si>
  <si>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</si>
  <si>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</si>
  <si>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</si>
  <si>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</si>
  <si>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</si>
  <si>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</si>
  <si>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</si>
  <si>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</si>
  <si>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</si>
  <si>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</si>
  <si>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</si>
  <si>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</si>
  <si>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</si>
  <si>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</si>
  <si>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</si>
  <si>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</si>
  <si>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</si>
  <si>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</si>
  <si>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</si>
  <si>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</si>
  <si>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</si>
  <si>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</si>
  <si>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</si>
  <si>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</si>
  <si>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</si>
  <si>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</si>
  <si>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</si>
  <si>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</si>
  <si>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</si>
  <si>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</si>
  <si>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</si>
  <si>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</si>
  <si>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</si>
  <si>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</si>
  <si>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</si>
  <si>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</si>
  <si>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</si>
  <si>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</si>
  <si>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</si>
  <si>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</si>
  <si>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</si>
  <si>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</si>
  <si>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</si>
  <si>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</si>
  <si>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</si>
  <si>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</si>
  <si>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</si>
  <si>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</si>
  <si>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</si>
  <si>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</si>
  <si>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</si>
  <si>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</si>
  <si>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</si>
  <si>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</si>
  <si>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</si>
  <si>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</si>
  <si>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</si>
  <si>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</si>
  <si>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</si>
  <si>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</si>
  <si>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</si>
  <si>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</si>
  <si>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</si>
  <si>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</si>
  <si>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</si>
  <si>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</si>
  <si>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</si>
  <si>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</si>
  <si>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</si>
  <si>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</si>
  <si>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</si>
  <si>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</si>
  <si>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</si>
  <si>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</si>
  <si>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</si>
  <si>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</si>
  <si>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</si>
  <si>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</si>
  <si>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</si>
  <si>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</si>
  <si>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</si>
  <si>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</si>
  <si>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</si>
  <si>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</si>
  <si>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</si>
  <si>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</si>
  <si>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</si>
  <si>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</si>
  <si>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</si>
  <si>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</si>
  <si>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</si>
  <si>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</si>
  <si>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</si>
  <si>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</si>
  <si>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</si>
  <si>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</si>
  <si>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</si>
  <si>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</si>
  <si>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</si>
  <si>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</si>
  <si>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</si>
  <si>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</si>
  <si>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</si>
  <si>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</si>
  <si>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</si>
  <si>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</si>
  <si>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</si>
  <si>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</si>
  <si>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</si>
  <si>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</si>
  <si>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</si>
  <si>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</si>
  <si>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</si>
  <si>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</si>
  <si>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</si>
  <si>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</si>
  <si>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</si>
  <si>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</si>
  <si>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</si>
  <si>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</si>
  <si>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</si>
  <si>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</si>
  <si>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</si>
  <si>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</si>
  <si>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</si>
  <si>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</si>
  <si>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</si>
  <si>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</si>
  <si>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</si>
  <si>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</si>
  <si>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</si>
  <si>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</si>
  <si>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</si>
  <si>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</si>
  <si>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</si>
  <si>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</si>
  <si>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</si>
  <si>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</si>
  <si>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</si>
  <si>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</si>
  <si>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</si>
  <si>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</si>
  <si>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</si>
  <si>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</si>
  <si>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</si>
  <si>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</si>
  <si>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</si>
  <si>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</si>
  <si>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</si>
  <si>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</si>
  <si>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</si>
  <si>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</si>
  <si>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</si>
  <si>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</si>
  <si>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</si>
  <si>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</si>
  <si>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</si>
  <si>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</si>
  <si>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</si>
  <si>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</si>
  <si>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</si>
  <si>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</si>
  <si>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</si>
  <si>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</si>
  <si>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</si>
  <si>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</si>
  <si>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</si>
  <si>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</si>
  <si>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</si>
  <si>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</si>
  <si>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</si>
  <si>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</si>
  <si>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</si>
  <si>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</si>
  <si>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</si>
  <si>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</si>
  <si>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</si>
  <si>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</si>
  <si>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</si>
  <si>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</si>
  <si>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</si>
  <si>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</si>
  <si>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</si>
  <si>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</si>
  <si>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</si>
  <si>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</si>
  <si>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</si>
  <si>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</si>
  <si>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</si>
  <si>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</si>
  <si>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</si>
  <si>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</si>
  <si>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</si>
  <si>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</si>
  <si>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</si>
  <si>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</si>
  <si>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</si>
  <si>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</si>
  <si>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</si>
  <si>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</si>
  <si>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</si>
  <si>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</si>
  <si>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</si>
  <si>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</si>
  <si>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</si>
  <si>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</si>
  <si>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</si>
  <si>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</si>
  <si>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</si>
  <si>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</si>
  <si>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</si>
  <si>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</si>
  <si>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</si>
  <si>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</si>
  <si>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</si>
  <si>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</si>
  <si>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</si>
  <si>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</si>
  <si>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</si>
  <si>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</si>
  <si>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</si>
  <si>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</si>
  <si>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</si>
  <si>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</si>
  <si>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</si>
  <si>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</si>
  <si>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</si>
  <si>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</si>
  <si>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</si>
  <si>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</si>
  <si>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</si>
  <si>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</si>
  <si>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</si>
  <si>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</si>
  <si>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</si>
  <si>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</si>
  <si>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</si>
  <si>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</si>
  <si>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</si>
  <si>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</si>
  <si>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</si>
  <si>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</si>
  <si>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</si>
  <si>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</si>
  <si>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</si>
  <si>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</si>
  <si>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</si>
  <si>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</si>
  <si>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</si>
  <si>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</si>
  <si>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</si>
  <si>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</si>
  <si>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</si>
  <si>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</si>
  <si>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</si>
  <si>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</si>
  <si>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</si>
  <si>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</si>
  <si>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</si>
  <si>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</si>
  <si>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</si>
  <si>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</si>
  <si>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</si>
  <si>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</si>
  <si>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</si>
  <si>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</si>
  <si>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</si>
  <si>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</si>
  <si>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</si>
  <si>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</si>
  <si>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</si>
  <si>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</si>
  <si>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</si>
  <si>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</si>
  <si>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</si>
  <si>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</si>
  <si>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</si>
  <si>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</si>
  <si>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</si>
  <si>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</si>
  <si>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</si>
  <si>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</si>
  <si>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</si>
  <si>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</si>
  <si>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</si>
  <si>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</si>
  <si>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</si>
  <si>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</si>
  <si>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</si>
  <si>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</si>
  <si>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</si>
  <si>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</si>
  <si>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</si>
  <si>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</si>
  <si>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</si>
  <si>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</si>
  <si>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</si>
  <si>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</si>
  <si>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</si>
  <si>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</si>
  <si>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</si>
  <si>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</si>
  <si>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</si>
  <si>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</si>
  <si>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</si>
  <si>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</si>
  <si>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</si>
  <si>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</si>
  <si>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</si>
  <si>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</si>
  <si>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</si>
  <si>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</si>
  <si>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</si>
  <si>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</si>
  <si>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</si>
  <si>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</si>
  <si>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</si>
  <si>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</si>
  <si>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</si>
  <si>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</si>
  <si>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</si>
  <si>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</si>
  <si>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</si>
  <si>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</si>
  <si>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</si>
  <si>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</si>
  <si>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</si>
  <si>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</si>
  <si>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</si>
  <si>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</si>
  <si>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</si>
  <si>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</si>
  <si>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</si>
  <si>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</si>
  <si>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</si>
  <si>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</si>
  <si>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</si>
  <si>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</si>
  <si>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</si>
  <si>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</si>
  <si>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</si>
  <si>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</si>
  <si>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</si>
  <si>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</si>
  <si>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</si>
  <si>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</si>
  <si>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</si>
  <si>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</si>
  <si>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</si>
  <si>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</si>
  <si>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</si>
  <si>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</si>
  <si>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</si>
  <si>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</si>
  <si>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</si>
  <si>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</si>
  <si>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</si>
  <si>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</si>
  <si>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</si>
  <si>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</si>
  <si>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</si>
  <si>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</si>
  <si>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</si>
  <si>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</si>
  <si>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</si>
  <si>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</si>
  <si>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</si>
  <si>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</si>
  <si>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</si>
  <si>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</si>
  <si>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</si>
  <si>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</si>
  <si>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</si>
  <si>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</si>
  <si>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</si>
  <si>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</si>
  <si>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</si>
  <si>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</si>
  <si>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</si>
  <si>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</si>
  <si>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</si>
  <si>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</si>
  <si>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</si>
  <si>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</si>
  <si>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</si>
  <si>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</si>
  <si>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</si>
  <si>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</si>
  <si>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</si>
  <si>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</si>
  <si>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</si>
  <si>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</si>
  <si>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</si>
  <si>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</si>
  <si>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</si>
  <si>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</si>
  <si>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</si>
  <si>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</si>
  <si>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</si>
  <si>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</si>
  <si>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</si>
  <si>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</si>
  <si>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</si>
  <si>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</si>
  <si>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</si>
  <si>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</si>
  <si>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</si>
  <si>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</si>
  <si>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</si>
  <si>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</si>
  <si>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</si>
  <si>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</si>
  <si>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</si>
  <si>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</si>
  <si>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</si>
  <si>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</si>
  <si>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</si>
  <si>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</si>
  <si>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</si>
  <si>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</si>
  <si>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</si>
  <si>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</si>
  <si>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</si>
  <si>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</si>
  <si>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</si>
  <si>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</si>
  <si>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</si>
  <si>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</si>
  <si>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</si>
  <si>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</si>
  <si>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</si>
  <si>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</si>
  <si>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</si>
  <si>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</si>
  <si>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</si>
  <si>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</si>
  <si>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</si>
  <si>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</si>
  <si>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</si>
  <si>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</si>
  <si>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</si>
  <si>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</si>
  <si>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</si>
  <si>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</si>
  <si>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</si>
  <si>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</si>
  <si>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</si>
  <si>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</si>
  <si>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</si>
  <si>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</si>
  <si>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</si>
  <si>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</si>
  <si>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</si>
  <si>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</si>
  <si>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</si>
  <si>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</si>
  <si>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</si>
  <si>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</si>
  <si>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</si>
  <si>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</si>
  <si>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</si>
  <si>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</si>
  <si>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</si>
  <si>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</si>
  <si>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</si>
  <si>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</si>
  <si>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</si>
  <si>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</si>
  <si>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</si>
  <si>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</si>
  <si>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</si>
  <si>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</si>
  <si>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</si>
  <si>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</si>
  <si>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</si>
  <si>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</si>
  <si>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</si>
  <si>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</si>
  <si>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</si>
  <si>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</si>
  <si>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</si>
  <si>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</si>
  <si>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</si>
  <si>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</si>
  <si>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</si>
  <si>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</si>
  <si>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</si>
  <si>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</si>
  <si>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</si>
  <si>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</si>
  <si>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</si>
  <si>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</si>
  <si>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</si>
  <si>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</si>
  <si>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</si>
  <si>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</si>
  <si>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</si>
  <si>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</si>
  <si>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</si>
  <si>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</si>
  <si>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</si>
  <si>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</si>
  <si>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</si>
  <si>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</si>
  <si>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</si>
  <si>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</si>
  <si>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</si>
  <si>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</si>
  <si>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</si>
  <si>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</si>
  <si>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</si>
  <si>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</si>
  <si>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</si>
  <si>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</si>
  <si>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</si>
  <si>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</si>
  <si>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</si>
  <si>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</si>
  <si>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</si>
  <si>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</si>
  <si>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</si>
  <si>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</si>
  <si>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</si>
  <si>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</si>
  <si>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</si>
  <si>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</si>
  <si>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</si>
  <si>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</si>
  <si>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</si>
  <si>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</si>
  <si>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</si>
  <si>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</si>
  <si>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</si>
  <si>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</si>
  <si>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</si>
  <si>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</si>
  <si>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</si>
  <si>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</si>
  <si>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</si>
  <si>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</si>
  <si>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</si>
  <si>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</si>
  <si>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</si>
  <si>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</si>
  <si>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</si>
  <si>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</si>
  <si>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</si>
  <si>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</si>
  <si>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</si>
  <si>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</si>
  <si>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</si>
  <si>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</si>
  <si>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</si>
  <si>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</si>
  <si>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</si>
  <si>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</si>
  <si>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</si>
  <si>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</si>
  <si>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</si>
  <si>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</si>
  <si>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</si>
  <si>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</si>
  <si>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</si>
  <si>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</si>
  <si>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</si>
  <si>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</si>
  <si>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</si>
  <si>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</si>
  <si>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</si>
  <si>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</si>
  <si>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</si>
  <si>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</si>
  <si>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</si>
  <si>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</si>
  <si>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</si>
  <si>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</si>
  <si>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</si>
  <si>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</si>
  <si>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</si>
  <si>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</si>
  <si>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</si>
  <si>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</si>
  <si>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</si>
  <si>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</si>
  <si>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</si>
  <si>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</si>
  <si>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</si>
  <si>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</si>
  <si>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</si>
  <si>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</si>
  <si>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</si>
  <si>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</si>
  <si>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</si>
  <si>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</si>
  <si>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</si>
  <si>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</si>
  <si>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</si>
  <si>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</si>
  <si>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</si>
  <si>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</si>
  <si>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</si>
  <si>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</si>
  <si>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</si>
  <si>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</si>
  <si>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</si>
  <si>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</si>
  <si>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</si>
  <si>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</si>
  <si>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</si>
  <si>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</si>
  <si>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</si>
  <si>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</si>
  <si>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</si>
  <si>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</si>
  <si>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</si>
  <si>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</si>
  <si>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</si>
  <si>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</si>
  <si>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</si>
  <si>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</si>
  <si>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</si>
  <si>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</si>
  <si>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</si>
  <si>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</si>
  <si>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</si>
  <si>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</si>
  <si>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</si>
  <si>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</si>
  <si>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</si>
  <si>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</si>
  <si>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</si>
  <si>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</si>
  <si>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</si>
  <si>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</si>
  <si>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</si>
  <si>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</si>
  <si>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</si>
  <si>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</si>
  <si>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</si>
  <si>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</si>
  <si>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</si>
  <si>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</si>
  <si>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</si>
  <si>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</si>
  <si>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</si>
  <si>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</si>
  <si>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</si>
  <si>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</si>
  <si>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</si>
  <si>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</si>
  <si>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</si>
  <si>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</si>
  <si>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</si>
  <si>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</si>
  <si>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</si>
  <si>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</si>
  <si>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</si>
  <si>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</si>
  <si>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</si>
  <si>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</si>
  <si>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</si>
  <si>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</si>
  <si>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</si>
  <si>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</si>
  <si>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</si>
  <si>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</si>
  <si>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</si>
  <si>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</si>
  <si>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</si>
  <si>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</si>
  <si>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</si>
  <si>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</si>
  <si>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</si>
  <si>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</si>
  <si>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</si>
  <si>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</si>
  <si>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</si>
  <si>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</si>
  <si>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</si>
  <si>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</si>
  <si>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</si>
  <si>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</si>
  <si>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</si>
  <si>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</si>
  <si>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</si>
  <si>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</si>
  <si>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</si>
  <si>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</si>
  <si>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</si>
  <si>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</si>
  <si>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</si>
  <si>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</si>
  <si>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</si>
  <si>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</si>
  <si>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</si>
  <si>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</si>
  <si>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</si>
  <si>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</si>
  <si>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</si>
  <si>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</si>
  <si>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</si>
  <si>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</si>
  <si>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</si>
  <si>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</si>
  <si>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</si>
  <si>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</si>
  <si>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</si>
  <si>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</si>
  <si>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</si>
  <si>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</si>
  <si>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</si>
  <si>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</si>
  <si>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</si>
  <si>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</si>
  <si>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</si>
  <si>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</si>
  <si>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</si>
  <si>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</si>
  <si>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</si>
  <si>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</si>
  <si>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</si>
  <si>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</si>
  <si>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</si>
  <si>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</si>
  <si>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</si>
  <si>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</si>
  <si>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</si>
  <si>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</si>
  <si>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</si>
  <si>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</si>
  <si>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</si>
  <si>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</si>
  <si>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</si>
  <si>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</si>
  <si>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</si>
  <si>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</si>
  <si>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</si>
  <si>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</si>
  <si>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</si>
  <si>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</si>
  <si>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</si>
  <si>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</si>
  <si>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</si>
  <si>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</si>
  <si>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</si>
  <si>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</si>
  <si>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</si>
  <si>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</si>
  <si>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</si>
  <si>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</si>
  <si>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</si>
  <si>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</si>
  <si>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</si>
  <si>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</si>
  <si>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</si>
  <si>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</si>
  <si>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</si>
  <si>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</si>
  <si>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</si>
  <si>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</si>
  <si>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</si>
  <si>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</si>
  <si>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</si>
  <si>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</si>
  <si>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</si>
  <si>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</si>
  <si>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</si>
  <si>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</si>
  <si>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</si>
  <si>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</si>
  <si>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</si>
  <si>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</si>
  <si>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</si>
  <si>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</si>
  <si>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</si>
  <si>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</si>
  <si>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</si>
  <si>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</si>
  <si>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</si>
  <si>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</si>
  <si>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</si>
  <si>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</si>
  <si>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</si>
  <si>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</si>
  <si>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</si>
  <si>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</si>
  <si>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</si>
  <si>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</si>
  <si>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</si>
  <si>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</si>
  <si>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</si>
  <si>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</si>
  <si>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</si>
  <si>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</si>
  <si>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</si>
  <si>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</si>
  <si>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</si>
  <si>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</si>
  <si>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</si>
  <si>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</si>
  <si>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</si>
  <si>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</si>
  <si>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</si>
  <si>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</si>
  <si>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</si>
  <si>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</si>
  <si>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</si>
  <si>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</si>
  <si>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</si>
  <si>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</si>
  <si>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</si>
  <si>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</si>
  <si>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</si>
  <si>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</si>
  <si>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</si>
  <si>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</si>
  <si>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</si>
  <si>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</si>
  <si>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</si>
  <si>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</si>
  <si>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</si>
  <si>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</si>
  <si>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</si>
  <si>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</si>
  <si>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</si>
  <si>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</si>
  <si>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</si>
  <si>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</si>
  <si>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</si>
  <si>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</si>
  <si>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</si>
  <si>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</si>
  <si>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</si>
  <si>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</si>
  <si>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</si>
  <si>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</si>
  <si>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</si>
  <si>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</si>
  <si>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</si>
  <si>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</si>
  <si>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</si>
  <si>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</si>
  <si>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</si>
  <si>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</si>
  <si>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</si>
  <si>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</si>
  <si>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</si>
  <si>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</si>
  <si>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</si>
  <si>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</si>
  <si>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</si>
  <si>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</si>
  <si>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</si>
  <si>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</si>
  <si>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</si>
  <si>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</si>
  <si>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</si>
  <si>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</si>
  <si>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</si>
  <si>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</si>
  <si>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</si>
  <si>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</si>
  <si>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</si>
  <si>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</si>
  <si>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</si>
  <si>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</si>
  <si>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</si>
  <si>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</si>
  <si>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</si>
  <si>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</si>
  <si>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</si>
  <si>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</si>
  <si>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</si>
  <si>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</si>
  <si>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</si>
  <si>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</si>
  <si>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</si>
  <si>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</si>
  <si>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</si>
  <si>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</si>
  <si>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</si>
  <si>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</si>
  <si>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</si>
  <si>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</si>
  <si>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</si>
  <si>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</si>
  <si>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</si>
  <si>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</si>
  <si>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</si>
  <si>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</si>
  <si>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</si>
  <si>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</si>
  <si>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</si>
  <si>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</si>
  <si>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</si>
  <si>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</si>
  <si>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</si>
  <si>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</si>
  <si>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</si>
  <si>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</si>
  <si>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</si>
  <si>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</si>
  <si>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</si>
  <si>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</si>
  <si>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</si>
  <si>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</si>
  <si>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</si>
  <si>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</si>
  <si>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</si>
  <si>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</si>
  <si>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</si>
  <si>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</si>
  <si>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</si>
  <si>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</si>
  <si>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</si>
  <si>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</si>
  <si>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</si>
  <si>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</si>
  <si>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</si>
  <si>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</si>
  <si>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</si>
  <si>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</si>
  <si>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</si>
  <si>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</si>
  <si>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</si>
  <si>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</si>
  <si>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</si>
  <si>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</si>
  <si>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</si>
  <si>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</si>
  <si>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</si>
  <si>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</si>
  <si>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</si>
  <si>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</si>
  <si>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</si>
  <si>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</si>
  <si>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</si>
  <si>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</si>
  <si>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</si>
  <si>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</si>
  <si>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</si>
  <si>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</si>
  <si>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</si>
  <si>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</si>
  <si>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</si>
  <si>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</si>
  <si>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</si>
  <si>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</si>
  <si>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</si>
  <si>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</si>
  <si>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</si>
  <si>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</si>
  <si>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</si>
  <si>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</si>
  <si>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</si>
  <si>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</si>
  <si>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</si>
  <si>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</si>
  <si>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</si>
  <si>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</si>
  <si>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</si>
  <si>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</si>
  <si>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</si>
  <si>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</si>
  <si>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</si>
  <si>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</si>
  <si>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</si>
  <si>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</si>
  <si>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</si>
  <si>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</si>
  <si>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</si>
  <si>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</si>
  <si>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</si>
  <si>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</si>
  <si>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</si>
  <si>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</si>
  <si>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</si>
  <si>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</si>
  <si>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</si>
  <si>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</si>
  <si>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</si>
  <si>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</si>
  <si>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</si>
  <si>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</si>
  <si>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</si>
  <si>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</si>
  <si>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</si>
  <si>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</si>
  <si>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</si>
  <si>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</si>
  <si>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</si>
  <si>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</si>
  <si>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</si>
  <si>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</si>
  <si>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</si>
  <si>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</si>
  <si>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</si>
  <si>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</si>
  <si>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</si>
  <si>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</si>
  <si>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</si>
  <si>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</si>
  <si>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</si>
  <si>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</si>
  <si>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</si>
  <si>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</si>
  <si>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</si>
  <si>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</si>
  <si>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</si>
  <si>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</si>
  <si>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</si>
  <si>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</si>
  <si>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</si>
  <si>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</si>
  <si>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</si>
  <si>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</si>
  <si>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</si>
  <si>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</si>
  <si>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</si>
  <si>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</si>
  <si>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</si>
  <si>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</si>
  <si>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</si>
  <si>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</si>
  <si>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</si>
  <si>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</si>
  <si>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</si>
  <si>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</si>
  <si>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</si>
  <si>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</si>
  <si>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</si>
  <si>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</si>
  <si>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</si>
  <si>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</si>
  <si>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</si>
  <si>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</si>
  <si>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</si>
  <si>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</si>
  <si>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</si>
  <si>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</si>
  <si>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</si>
  <si>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</si>
  <si>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</si>
  <si>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</si>
  <si>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</si>
  <si>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</si>
  <si>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</si>
  <si>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</si>
  <si>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</si>
  <si>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</si>
  <si>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</si>
  <si>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</si>
  <si>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</si>
  <si>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</si>
  <si>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</si>
  <si>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</si>
  <si>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</si>
  <si>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</si>
  <si>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</si>
  <si>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</si>
  <si>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</si>
  <si>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</si>
  <si>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</si>
  <si>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</si>
  <si>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</si>
  <si>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</si>
  <si>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</si>
  <si>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</si>
  <si>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</si>
  <si>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</si>
  <si>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</si>
  <si>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</si>
  <si>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</si>
  <si>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</si>
  <si>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</si>
  <si>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</si>
  <si>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</si>
  <si>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</si>
  <si>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</si>
  <si>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</si>
  <si>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</si>
  <si>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</si>
  <si>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</si>
  <si>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</si>
  <si>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</si>
  <si>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</si>
  <si>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</si>
  <si>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</si>
  <si>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</si>
  <si>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</si>
  <si>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</si>
  <si>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</si>
  <si>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</si>
  <si>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</si>
  <si>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</si>
  <si>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</si>
  <si>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</si>
  <si>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</si>
  <si>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</si>
  <si>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</si>
  <si>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</si>
  <si>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</si>
  <si>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</si>
  <si>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</si>
  <si>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</si>
  <si>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</si>
  <si>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</si>
  <si>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</si>
  <si>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</si>
  <si>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</si>
  <si>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</si>
  <si>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</si>
  <si>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</si>
  <si>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</si>
  <si>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</si>
  <si>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</si>
  <si>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</si>
  <si>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</si>
  <si>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</si>
  <si>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</si>
  <si>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</si>
  <si>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</si>
  <si>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</si>
  <si>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</si>
  <si>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</si>
  <si>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</si>
  <si>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</si>
  <si>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</si>
  <si>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</si>
  <si>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</si>
  <si>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</si>
  <si>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</si>
  <si>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</si>
  <si>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</si>
  <si>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</si>
  <si>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</si>
  <si>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</si>
  <si>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</si>
  <si>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</si>
  <si>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</si>
  <si>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</si>
  <si>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</si>
  <si>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</si>
  <si>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</si>
  <si>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</si>
  <si>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</si>
  <si>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</si>
  <si>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</si>
  <si>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</si>
  <si>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</si>
  <si>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</si>
  <si>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</si>
  <si>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</si>
  <si>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</si>
  <si>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</si>
  <si>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</si>
  <si>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</si>
  <si>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</si>
  <si>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</si>
  <si>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</si>
  <si>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</si>
  <si>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</si>
  <si>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</si>
  <si>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</si>
  <si>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</si>
  <si>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</si>
  <si>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</si>
  <si>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</si>
  <si>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</si>
  <si>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</si>
  <si>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</si>
  <si>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</si>
  <si>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</si>
  <si>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</si>
  <si>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</si>
  <si>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</si>
  <si>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</si>
  <si>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</si>
  <si>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</si>
  <si>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</si>
  <si>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</si>
  <si>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</si>
  <si>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</si>
  <si>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</si>
  <si>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</si>
  <si>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</si>
  <si>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</si>
  <si>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</si>
  <si>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</si>
  <si>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</si>
  <si>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</si>
  <si>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</si>
  <si>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</si>
  <si>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</si>
  <si>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</si>
  <si>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</si>
  <si>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</si>
  <si>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</si>
  <si>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</si>
  <si>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</si>
  <si>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</si>
  <si>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</si>
  <si>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</si>
  <si>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</si>
  <si>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</si>
  <si>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</si>
  <si>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</si>
  <si>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</si>
  <si>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</si>
  <si>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</si>
  <si>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</si>
  <si>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</si>
  <si>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</si>
  <si>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</si>
  <si>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</si>
  <si>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</si>
  <si>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</si>
  <si>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</si>
  <si>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</si>
  <si>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</si>
  <si>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</si>
  <si>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</si>
  <si>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</si>
  <si>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</si>
  <si>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</si>
  <si>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</si>
  <si>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</si>
  <si>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</si>
  <si>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</si>
  <si>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</si>
  <si>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</si>
  <si>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</si>
  <si>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</si>
  <si>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</si>
  <si>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</si>
  <si>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</si>
  <si>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</si>
  <si>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</si>
  <si>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</si>
  <si>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</si>
  <si>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</si>
  <si>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</si>
  <si>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</si>
  <si>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</si>
  <si>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</si>
  <si>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</si>
  <si>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</si>
  <si>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</si>
  <si>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</si>
  <si>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</si>
  <si>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</si>
  <si>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</si>
  <si>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</si>
  <si>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</si>
  <si>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</si>
  <si>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</si>
  <si>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</si>
  <si>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</si>
  <si>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</si>
  <si>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</si>
  <si>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</si>
  <si>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</si>
  <si>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</si>
  <si>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</si>
  <si>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</si>
  <si>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</si>
  <si>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</si>
  <si>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</si>
  <si>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</si>
  <si>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</si>
  <si>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</si>
  <si>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</si>
  <si>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</si>
  <si>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</si>
  <si>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</si>
  <si>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</si>
  <si>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</si>
  <si>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</si>
  <si>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</si>
  <si>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</si>
  <si>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</si>
  <si>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</si>
  <si>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</si>
  <si>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</si>
  <si>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</si>
  <si>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</si>
  <si>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</si>
  <si>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</si>
  <si>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</si>
  <si>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</si>
  <si>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</si>
  <si>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</si>
  <si>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</si>
  <si>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</si>
  <si>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</si>
  <si>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</si>
  <si>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</si>
  <si>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</si>
  <si>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</si>
  <si>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</si>
  <si>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</si>
  <si>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</si>
  <si>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</si>
  <si>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</si>
  <si>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</si>
  <si>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</si>
  <si>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</si>
  <si>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</si>
  <si>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</si>
  <si>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</si>
  <si>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</si>
  <si>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</si>
  <si>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</si>
  <si>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</si>
  <si>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</si>
  <si>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</si>
  <si>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</si>
  <si>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</si>
  <si>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</si>
  <si>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</si>
  <si>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</si>
  <si>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</si>
  <si>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</si>
  <si>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</si>
  <si>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</si>
  <si>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</si>
  <si>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</si>
  <si>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</si>
  <si>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</si>
  <si>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</si>
  <si>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</si>
  <si>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</si>
  <si>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</si>
  <si>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</si>
  <si>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</si>
  <si>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</si>
  <si>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</si>
  <si>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</si>
  <si>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</si>
  <si>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</si>
  <si>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</si>
  <si>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</si>
  <si>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</si>
  <si>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</si>
  <si>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</si>
  <si>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</si>
  <si>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</si>
  <si>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</si>
  <si>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</si>
  <si>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</si>
  <si>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</si>
  <si>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</si>
  <si>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</si>
  <si>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</si>
  <si>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</si>
  <si>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</si>
  <si>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</si>
  <si>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</si>
  <si>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</si>
  <si>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</si>
  <si>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</si>
  <si>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</si>
  <si>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</si>
  <si>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</si>
  <si>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</si>
  <si>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</si>
  <si>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</si>
  <si>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</si>
  <si>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</si>
  <si>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</si>
  <si>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</si>
  <si>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</si>
  <si>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</si>
  <si>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</si>
  <si>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</si>
  <si>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</si>
  <si>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</si>
  <si>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</si>
  <si>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</si>
  <si>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</si>
  <si>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</si>
  <si>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</si>
  <si>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</si>
  <si>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</si>
  <si>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</si>
  <si>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</si>
  <si>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</si>
  <si>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</si>
  <si>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</si>
  <si>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</si>
  <si>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</si>
  <si>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</si>
  <si>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</si>
  <si>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</si>
  <si>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</si>
  <si>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</si>
  <si>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</si>
  <si>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</si>
  <si>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</si>
  <si>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</si>
  <si>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</si>
  <si>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</si>
  <si>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</si>
  <si>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</si>
  <si>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</si>
  <si>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</si>
  <si>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</si>
  <si>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</si>
  <si>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</si>
  <si>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</si>
  <si>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</si>
  <si>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</si>
  <si>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</si>
  <si>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</si>
  <si>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</si>
  <si>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</si>
  <si>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</si>
  <si>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</si>
  <si>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</si>
  <si>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</si>
  <si>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</si>
  <si>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</si>
  <si>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</si>
  <si>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</si>
  <si>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</si>
  <si>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</si>
  <si>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</si>
  <si>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</si>
  <si>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</si>
  <si>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</si>
  <si>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</si>
  <si>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</si>
  <si>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</si>
  <si>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</si>
  <si>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</si>
  <si>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</si>
  <si>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</si>
  <si>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</si>
  <si>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</si>
  <si>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</si>
  <si>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</si>
  <si>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</si>
  <si>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</si>
  <si>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</si>
  <si>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</si>
  <si>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</si>
  <si>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</si>
  <si>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</si>
  <si>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</si>
  <si>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</si>
  <si>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</si>
  <si>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</si>
  <si>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</si>
  <si>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</si>
  <si>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</si>
  <si>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</si>
  <si>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</si>
  <si>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</si>
  <si>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</si>
  <si>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</si>
  <si>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</si>
  <si>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</si>
  <si>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</si>
  <si>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</si>
  <si>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</si>
  <si>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</si>
  <si>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</si>
  <si>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</si>
  <si>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</si>
  <si>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</si>
  <si>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</si>
  <si>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</si>
  <si>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</si>
  <si>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</si>
  <si>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</si>
  <si>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</si>
  <si>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</si>
  <si>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</si>
  <si>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</si>
  <si>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</si>
  <si>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</si>
  <si>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</si>
  <si>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</si>
  <si>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</si>
  <si>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</si>
  <si>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</si>
  <si>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</si>
  <si>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</si>
  <si>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</si>
  <si>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</si>
  <si>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</si>
  <si>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</si>
  <si>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</si>
  <si>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</si>
  <si>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</si>
  <si>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</si>
  <si>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</si>
  <si>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</si>
  <si>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</si>
  <si>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</si>
  <si>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</si>
  <si>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</si>
  <si>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</si>
  <si>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</si>
  <si>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</si>
  <si>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</si>
  <si>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</si>
  <si>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</si>
  <si>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</si>
  <si>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</si>
  <si>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</si>
  <si>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</si>
  <si>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</si>
  <si>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</si>
  <si>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</si>
  <si>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</si>
  <si>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</si>
  <si>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</si>
  <si>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</si>
  <si>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</si>
  <si>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</si>
  <si>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</si>
  <si>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</si>
  <si>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</si>
  <si>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</si>
  <si>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</si>
  <si>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</si>
  <si>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</si>
  <si>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</si>
  <si>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</si>
  <si>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</si>
  <si>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</si>
  <si>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</si>
  <si>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</si>
  <si>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</si>
  <si>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</si>
  <si>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</si>
  <si>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</si>
  <si>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</si>
  <si>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</si>
  <si>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</si>
  <si>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</si>
  <si>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</si>
  <si>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</si>
  <si>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</si>
  <si>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</si>
  <si>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</si>
  <si>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</si>
  <si>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</si>
  <si>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</si>
  <si>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</si>
  <si>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</si>
  <si>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</si>
  <si>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</si>
  <si>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</si>
  <si>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</si>
  <si>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</si>
  <si>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</si>
  <si>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</si>
  <si>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</si>
  <si>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</si>
  <si>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</si>
  <si>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</si>
  <si>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</si>
  <si>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</si>
  <si>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</si>
  <si>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</si>
  <si>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</si>
  <si>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</si>
  <si>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</si>
  <si>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</si>
  <si>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</si>
  <si>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</si>
  <si>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</si>
  <si>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</si>
  <si>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</si>
  <si>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</si>
  <si>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</si>
  <si>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</si>
  <si>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</si>
  <si>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</si>
  <si>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</si>
  <si>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</si>
  <si>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</si>
  <si>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</si>
  <si>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</si>
  <si>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</si>
  <si>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</si>
  <si>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</si>
  <si>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</si>
  <si>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</si>
  <si>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</si>
  <si>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</si>
  <si>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</si>
  <si>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</si>
  <si>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</si>
  <si>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</si>
  <si>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</si>
  <si>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</si>
  <si>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</si>
  <si>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</si>
  <si>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</si>
  <si>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</si>
  <si>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</si>
  <si>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</si>
  <si>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</si>
  <si>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</si>
  <si>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</si>
  <si>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</si>
  <si>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</si>
  <si>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</si>
  <si>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</si>
  <si>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</si>
  <si>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</si>
  <si>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</si>
  <si>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</si>
  <si>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</si>
  <si>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</si>
  <si>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</si>
  <si>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</si>
  <si>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</si>
  <si>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</si>
  <si>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</si>
  <si>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</si>
  <si>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</si>
  <si>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</si>
  <si>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</si>
  <si>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</si>
  <si>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</si>
  <si>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</si>
  <si>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</si>
  <si>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</si>
  <si>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</si>
  <si>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</si>
  <si>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</si>
  <si>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</si>
  <si>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</si>
  <si>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</si>
  <si>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</si>
  <si>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</si>
  <si>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</si>
  <si>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</si>
  <si>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</si>
  <si>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</si>
  <si>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</si>
  <si>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</si>
  <si>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</si>
  <si>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</si>
  <si>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</si>
  <si>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</si>
  <si>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</si>
  <si>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</si>
  <si>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</si>
  <si>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</si>
  <si>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</si>
  <si>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</si>
  <si>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</si>
  <si>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</si>
  <si>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</si>
  <si>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</si>
  <si>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</si>
  <si>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</si>
  <si>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</si>
  <si>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</si>
  <si>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</si>
  <si>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</si>
  <si>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</si>
  <si>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</si>
  <si>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</si>
  <si>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</si>
  <si>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</si>
  <si>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</si>
  <si>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</si>
  <si>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</si>
  <si>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</si>
  <si>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</si>
  <si>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</si>
  <si>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</si>
  <si>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</si>
  <si>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</si>
  <si>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</si>
  <si>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</si>
  <si>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</si>
  <si>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</si>
  <si>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</si>
  <si>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</si>
  <si>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</si>
  <si>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</si>
  <si>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</si>
  <si>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</si>
  <si>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</si>
  <si>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</si>
  <si>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</si>
  <si>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</si>
  <si>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</si>
  <si>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</si>
  <si>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</si>
  <si>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</si>
  <si>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</si>
  <si>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</si>
  <si>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</si>
  <si>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</si>
  <si>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</si>
  <si>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</si>
  <si>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</si>
  <si>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</si>
  <si>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</si>
  <si>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</si>
  <si>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</si>
  <si>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</si>
  <si>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</si>
  <si>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</si>
  <si>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</si>
  <si>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</si>
  <si>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</si>
  <si>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</si>
  <si>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</si>
  <si>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</si>
  <si>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</si>
  <si>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</si>
  <si>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</si>
  <si>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</si>
  <si>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</si>
  <si>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</si>
  <si>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</si>
  <si>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</si>
  <si>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</si>
  <si>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</si>
  <si>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</si>
  <si>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</si>
  <si>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</si>
  <si>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</si>
  <si>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</si>
  <si>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</si>
  <si>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</si>
  <si>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</si>
  <si>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</si>
  <si>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</si>
  <si>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</si>
  <si>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</si>
  <si>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</si>
  <si>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</si>
  <si>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</si>
  <si>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</si>
  <si>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</si>
  <si>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</si>
  <si>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</si>
  <si>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</si>
  <si>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</si>
  <si>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</si>
  <si>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</si>
  <si>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</si>
  <si>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</si>
  <si>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</si>
  <si>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</si>
  <si>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</si>
  <si>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</si>
  <si>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</si>
  <si>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</si>
  <si>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</si>
  <si>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</si>
  <si>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</si>
  <si>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</si>
  <si>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</si>
  <si>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</si>
  <si>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</si>
  <si>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</si>
  <si>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</si>
  <si>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</si>
  <si>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</si>
  <si>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</si>
  <si>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</si>
  <si>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</si>
  <si>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</si>
  <si>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</si>
  <si>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</si>
  <si>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</si>
  <si>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</si>
  <si>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</si>
  <si>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</si>
  <si>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</si>
  <si>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</si>
  <si>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</si>
  <si>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</si>
  <si>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</si>
  <si>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</si>
  <si>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</si>
  <si>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</si>
  <si>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</si>
  <si>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</si>
  <si>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</si>
  <si>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</si>
  <si>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</si>
  <si>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</si>
  <si>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</si>
  <si>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</si>
  <si>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</si>
  <si>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</si>
  <si>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</si>
  <si>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</si>
  <si>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</si>
  <si>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</si>
  <si>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</si>
  <si>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</si>
  <si>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</si>
  <si>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</si>
  <si>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</si>
  <si>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</si>
  <si>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</si>
  <si>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</si>
  <si>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</si>
  <si>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</si>
  <si>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</si>
  <si>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</si>
  <si>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</si>
  <si>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</si>
  <si>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</si>
  <si>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</si>
  <si>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</si>
  <si>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</si>
  <si>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</si>
  <si>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</si>
  <si>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</si>
  <si>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</si>
  <si>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</si>
  <si>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</si>
  <si>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</si>
  <si>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</si>
  <si>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</si>
  <si>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</si>
  <si>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</si>
  <si>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</si>
  <si>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</si>
  <si>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</si>
  <si>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</si>
  <si>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</si>
  <si>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</si>
  <si>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</si>
  <si>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</si>
  <si>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</si>
  <si>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</si>
  <si>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</si>
  <si>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</si>
  <si>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</si>
  <si>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</si>
  <si>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</si>
  <si>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</si>
  <si>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</si>
  <si>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</si>
  <si>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</si>
  <si>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</si>
  <si>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</si>
  <si>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</si>
  <si>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</si>
  <si>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</si>
  <si>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</si>
  <si>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</si>
  <si>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</si>
  <si>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</si>
  <si>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</si>
  <si>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</si>
  <si>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</si>
  <si>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</si>
  <si>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</si>
  <si>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</si>
  <si>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</si>
  <si>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</si>
  <si>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</si>
  <si>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</si>
  <si>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</si>
  <si>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</si>
  <si>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</si>
  <si>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</si>
  <si>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</si>
  <si>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</si>
  <si>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</si>
  <si>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</si>
  <si>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</si>
  <si>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</si>
  <si>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</si>
  <si>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</si>
  <si>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</si>
  <si>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</si>
  <si>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</si>
  <si>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</si>
  <si>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</si>
  <si>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</si>
  <si>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</si>
  <si>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</si>
  <si>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</si>
  <si>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</si>
  <si>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</si>
  <si>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</si>
  <si>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</si>
  <si>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</si>
  <si>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</si>
  <si>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</si>
  <si>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</si>
  <si>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</si>
  <si>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</si>
  <si>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</si>
  <si>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</si>
  <si>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</si>
  <si>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</si>
  <si>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</si>
  <si>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</si>
  <si>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</si>
  <si>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</si>
  <si>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</si>
  <si>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</si>
  <si>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</si>
  <si>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</si>
  <si>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</si>
  <si>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</si>
  <si>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</si>
  <si>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</si>
  <si>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</si>
  <si>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</si>
  <si>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</si>
  <si>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</si>
  <si>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</si>
  <si>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</si>
  <si>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</si>
  <si>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</si>
  <si>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</si>
  <si>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</si>
  <si>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</si>
  <si>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</si>
  <si>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</si>
  <si>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</si>
  <si>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</si>
  <si>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</si>
  <si>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</si>
  <si>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</si>
  <si>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</si>
  <si>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</si>
  <si>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</si>
  <si>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</si>
  <si>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</si>
  <si>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</si>
  <si>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</si>
  <si>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</si>
  <si>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</si>
  <si>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</si>
  <si>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</si>
  <si>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</si>
  <si>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</si>
  <si>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</si>
  <si>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</si>
  <si>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</si>
  <si>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</si>
  <si>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</si>
  <si>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</si>
  <si>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</si>
  <si>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</si>
  <si>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</si>
  <si>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</si>
  <si>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</si>
  <si>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</si>
  <si>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</si>
  <si>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</si>
  <si>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</si>
  <si>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</si>
  <si>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</si>
  <si>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</si>
  <si>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</si>
  <si>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</si>
  <si>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</si>
  <si>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</si>
  <si>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</si>
  <si>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</si>
  <si>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</si>
  <si>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</si>
  <si>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</si>
  <si>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</si>
  <si>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</si>
  <si>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</si>
  <si>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</si>
  <si>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</si>
  <si>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</si>
  <si>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</si>
  <si>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</si>
  <si>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</si>
  <si>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</si>
  <si>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</si>
  <si>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</si>
  <si>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</si>
  <si>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</si>
  <si>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</si>
  <si>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</si>
  <si>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</si>
  <si>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</si>
  <si>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</si>
  <si>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</si>
  <si>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</si>
  <si>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</si>
  <si>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</si>
  <si>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</si>
  <si>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</si>
  <si>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</si>
  <si>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</si>
  <si>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</si>
  <si>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</si>
  <si>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</si>
  <si>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</si>
  <si>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</si>
  <si>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</si>
  <si>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</si>
  <si>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</si>
  <si>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</si>
  <si>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</si>
  <si>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</si>
  <si>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</si>
  <si>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</si>
  <si>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</si>
  <si>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</si>
  <si>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</si>
  <si>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</si>
  <si>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</si>
  <si>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</si>
  <si>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</si>
  <si>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</si>
  <si>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</si>
  <si>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</si>
  <si>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</si>
  <si>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</si>
  <si>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</si>
  <si>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</si>
  <si>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</si>
  <si>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</si>
  <si>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</si>
  <si>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</si>
  <si>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</si>
  <si>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</si>
  <si>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</si>
  <si>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</si>
  <si>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</si>
  <si>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</si>
  <si>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</si>
  <si>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</si>
  <si>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</si>
  <si>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</si>
  <si>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</si>
  <si>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</si>
  <si>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</si>
  <si>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</si>
  <si>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</si>
  <si>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</si>
  <si>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</si>
  <si>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</si>
  <si>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</si>
  <si>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</si>
  <si>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</si>
  <si>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</si>
  <si>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</si>
  <si>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</si>
  <si>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</si>
  <si>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</si>
  <si>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</si>
  <si>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</si>
  <si>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</si>
  <si>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</si>
  <si>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</si>
  <si>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</si>
  <si>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</si>
  <si>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</si>
  <si>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</si>
  <si>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</si>
  <si>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</si>
  <si>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</si>
  <si>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</si>
  <si>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</si>
  <si>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</si>
  <si>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</si>
  <si>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</si>
  <si>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</si>
  <si>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</si>
  <si>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</si>
  <si>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</si>
  <si>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</si>
  <si>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</si>
  <si>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</si>
  <si>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</si>
  <si>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</si>
  <si>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</si>
  <si>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</si>
  <si>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</si>
  <si>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</si>
  <si>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</si>
  <si>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</si>
  <si>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</si>
  <si>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</si>
  <si>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</si>
  <si>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</si>
  <si>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</si>
  <si>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</si>
  <si>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</si>
  <si>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</si>
  <si>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</si>
  <si>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</si>
  <si>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</si>
  <si>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</si>
  <si>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</si>
  <si>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</si>
  <si>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</si>
  <si>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</si>
  <si>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</si>
  <si>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</si>
  <si>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</si>
  <si>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</si>
  <si>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</si>
  <si>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</si>
  <si>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</si>
  <si>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</si>
  <si>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</si>
  <si>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</si>
  <si>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</si>
  <si>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</si>
  <si>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</si>
  <si>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</si>
  <si>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</si>
  <si>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</si>
  <si>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</si>
  <si>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</si>
  <si>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</si>
  <si>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</si>
  <si>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</si>
  <si>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</si>
  <si>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</si>
  <si>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</si>
  <si>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</si>
  <si>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</si>
  <si>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</si>
  <si>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</si>
  <si>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</si>
  <si>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</si>
  <si>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</si>
  <si>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</si>
  <si>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</si>
  <si>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</si>
  <si>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</si>
  <si>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</si>
  <si>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</si>
  <si>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</si>
  <si>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</si>
  <si>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</si>
  <si>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</si>
  <si>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</si>
  <si>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</si>
  <si>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</si>
  <si>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</si>
  <si>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</si>
  <si>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</si>
  <si>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</si>
  <si>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</si>
  <si>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</si>
  <si>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</si>
  <si>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</si>
  <si>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</si>
  <si>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</si>
  <si>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</si>
  <si>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</si>
  <si>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</si>
  <si>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</si>
  <si>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</si>
  <si>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</si>
  <si>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</si>
  <si>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</si>
  <si>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</si>
  <si>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</si>
  <si>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</si>
  <si>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</si>
  <si>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</si>
  <si>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</si>
  <si>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</si>
  <si>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</si>
  <si>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</si>
  <si>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</si>
  <si>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</si>
  <si>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</si>
  <si>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</si>
  <si>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</si>
  <si>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</si>
  <si>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</si>
  <si>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</si>
  <si>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</si>
  <si>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</si>
  <si>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</si>
  <si>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</si>
  <si>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</si>
  <si>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</si>
  <si>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</si>
  <si>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</si>
  <si>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</si>
  <si>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</si>
  <si>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</si>
  <si>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</si>
  <si>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</si>
  <si>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</si>
  <si>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</si>
  <si>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</si>
  <si>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</si>
  <si>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</si>
  <si>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</si>
  <si>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</si>
  <si>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</si>
  <si>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</si>
  <si>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</si>
  <si>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</si>
  <si>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</si>
  <si>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</si>
  <si>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</si>
  <si>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</si>
  <si>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</si>
  <si>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</si>
  <si>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</si>
  <si>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</si>
  <si>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</si>
  <si>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</si>
  <si>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</si>
  <si>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</si>
  <si>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</si>
  <si>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</si>
  <si>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</si>
  <si>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</si>
  <si>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</si>
  <si>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</si>
  <si>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</si>
  <si>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</si>
  <si>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</si>
  <si>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</si>
  <si>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</si>
  <si>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</si>
  <si>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</si>
  <si>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</si>
  <si>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</si>
  <si>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</si>
  <si>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</si>
  <si>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</si>
  <si>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</si>
  <si>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</si>
  <si>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</si>
  <si>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</si>
  <si>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</si>
  <si>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</si>
  <si>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</si>
  <si>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</si>
  <si>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</si>
  <si>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</si>
  <si>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</si>
  <si>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</si>
  <si>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</si>
  <si>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</si>
  <si>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</si>
  <si>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</si>
  <si>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</si>
  <si>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</si>
  <si>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</si>
  <si>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</si>
  <si>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</si>
  <si>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</si>
  <si>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</si>
  <si>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</si>
  <si>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</si>
  <si>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</si>
  <si>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</si>
  <si>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</si>
  <si>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</si>
  <si>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</si>
  <si>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</si>
  <si>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</si>
  <si>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</si>
  <si>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</si>
  <si>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</si>
  <si>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</si>
  <si>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</si>
  <si>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</si>
  <si>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</si>
  <si>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</si>
  <si>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</si>
  <si>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</si>
  <si>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</si>
  <si>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</si>
  <si>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</si>
  <si>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</si>
  <si>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</si>
  <si>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</si>
  <si>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</si>
  <si>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</si>
  <si>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</si>
  <si>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</si>
  <si>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</si>
  <si>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</si>
  <si>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</si>
  <si>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</si>
  <si>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</si>
  <si>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</si>
  <si>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</si>
  <si>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</si>
  <si>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</si>
  <si>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</si>
  <si>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</si>
  <si>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</si>
  <si>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</si>
  <si>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</si>
  <si>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</si>
  <si>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</si>
  <si>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</si>
  <si>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</si>
  <si>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</si>
  <si>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</si>
  <si>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</si>
  <si>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</si>
  <si>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</si>
  <si>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</si>
  <si>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</si>
  <si>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</si>
  <si>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</si>
  <si>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</si>
  <si>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</si>
  <si>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</si>
  <si>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</si>
  <si>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</si>
  <si>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</si>
  <si>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</si>
  <si>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</si>
  <si>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</si>
  <si>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</si>
  <si>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</si>
  <si>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</si>
  <si>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</si>
  <si>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</si>
  <si>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</si>
  <si>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</si>
  <si>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</si>
  <si>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</si>
  <si>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</si>
  <si>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</si>
  <si>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</si>
  <si>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</si>
  <si>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</si>
  <si>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</si>
  <si>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</si>
  <si>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</si>
  <si>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</si>
  <si>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</si>
  <si>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</si>
  <si>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</si>
  <si>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</si>
  <si>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</si>
  <si>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</si>
  <si>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</si>
  <si>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</si>
  <si>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</si>
  <si>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</si>
  <si>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</si>
  <si>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</si>
  <si>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</si>
  <si>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</si>
  <si>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</si>
  <si>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</si>
  <si>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</si>
  <si>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</si>
  <si>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</si>
  <si>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</si>
  <si>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</si>
  <si>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</si>
  <si>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</si>
  <si>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</si>
  <si>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</si>
  <si>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</si>
  <si>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</si>
  <si>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</si>
  <si>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</si>
  <si>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</si>
  <si>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</si>
  <si>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</si>
  <si>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</si>
  <si>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</si>
  <si>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</si>
  <si>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</si>
  <si>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</si>
  <si>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</si>
  <si>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</si>
  <si>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</si>
  <si>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</si>
  <si>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</si>
  <si>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</si>
  <si>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</si>
  <si>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</si>
  <si>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</si>
  <si>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</si>
  <si>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</si>
  <si>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</si>
  <si>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</si>
  <si>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</si>
  <si>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</si>
  <si>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</si>
  <si>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</si>
  <si>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</si>
  <si>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</si>
  <si>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</si>
  <si>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</si>
  <si>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</si>
  <si>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</si>
  <si>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</si>
  <si>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</si>
  <si>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</si>
  <si>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</si>
  <si>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</si>
  <si>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</si>
  <si>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</si>
  <si>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</si>
  <si>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</si>
  <si>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</si>
  <si>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</si>
  <si>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</si>
  <si>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</si>
  <si>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</si>
  <si>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</si>
  <si>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</si>
  <si>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</si>
  <si>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</si>
  <si>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</si>
  <si>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</si>
  <si>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</si>
  <si>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</si>
  <si>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</si>
  <si>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</si>
  <si>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</si>
  <si>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</si>
  <si>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</si>
  <si>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</si>
  <si>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</si>
  <si>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</si>
  <si>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</si>
  <si>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</si>
  <si>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</si>
  <si>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</si>
  <si>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</si>
  <si>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</si>
  <si>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</si>
  <si>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</si>
  <si>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</si>
  <si>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</si>
  <si>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</si>
  <si>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</si>
  <si>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</si>
  <si>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</si>
  <si>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</si>
  <si>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</si>
  <si>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</si>
  <si>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</si>
  <si>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</si>
  <si>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</si>
  <si>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</si>
  <si>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</si>
  <si>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</si>
  <si>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</si>
  <si>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</si>
  <si>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</si>
  <si>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</si>
  <si>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</si>
  <si>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</si>
  <si>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</si>
  <si>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</si>
  <si>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</si>
  <si>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</si>
  <si>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</si>
  <si>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</si>
  <si>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</si>
  <si>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</si>
  <si>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</si>
  <si>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</si>
  <si>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</si>
  <si>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</si>
  <si>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</si>
  <si>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</si>
  <si>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</si>
  <si>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</si>
  <si>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</si>
  <si>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</si>
  <si>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</si>
  <si>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</si>
  <si>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</si>
  <si>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</si>
  <si>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</si>
  <si>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</si>
  <si>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</si>
  <si>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</si>
  <si>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</si>
  <si>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</si>
  <si>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</si>
  <si>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</si>
  <si>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</si>
  <si>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</si>
  <si>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</si>
  <si>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</si>
  <si>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</si>
  <si>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</si>
  <si>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</si>
  <si>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</si>
  <si>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</si>
  <si>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</si>
  <si>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</si>
  <si>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</si>
  <si>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</si>
  <si>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</si>
  <si>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</si>
  <si>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</si>
  <si>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</si>
  <si>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</si>
  <si>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</si>
  <si>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</si>
  <si>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</si>
  <si>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</si>
  <si>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</si>
  <si>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</si>
  <si>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</si>
  <si>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</si>
  <si>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</si>
  <si>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</si>
  <si>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</si>
  <si>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</si>
  <si>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</si>
  <si>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</si>
  <si>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</si>
  <si>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</si>
  <si>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</si>
  <si>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</si>
  <si>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</si>
  <si>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</si>
  <si>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</si>
  <si>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</si>
  <si>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</si>
  <si>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</si>
  <si>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</si>
  <si>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</si>
  <si>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</si>
  <si>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</si>
  <si>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</si>
  <si>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</si>
  <si>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</si>
  <si>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</si>
  <si>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</si>
  <si>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</si>
  <si>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</si>
  <si>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</si>
  <si>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</si>
  <si>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</si>
  <si>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</si>
  <si>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</si>
  <si>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</si>
  <si>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</si>
  <si>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</si>
  <si>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</si>
  <si>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</si>
  <si>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</si>
  <si>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</si>
  <si>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</si>
  <si>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</si>
  <si>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</si>
  <si>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</si>
  <si>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</si>
  <si>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</si>
  <si>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</si>
  <si>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</si>
  <si>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</si>
  <si>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</si>
  <si>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</si>
  <si>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</si>
  <si>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</si>
  <si>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</si>
  <si>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</si>
  <si>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</si>
  <si>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</si>
  <si>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</si>
  <si>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</si>
  <si>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</si>
  <si>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</si>
  <si>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</si>
  <si>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</si>
  <si>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</si>
  <si>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</si>
  <si>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</si>
  <si>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</si>
  <si>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</si>
  <si>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</si>
  <si>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</si>
  <si>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</si>
  <si>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</si>
  <si>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</si>
  <si>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</si>
  <si>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</si>
  <si>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</si>
  <si>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</si>
  <si>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</si>
  <si>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</si>
  <si>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</si>
  <si>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</si>
  <si>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</si>
  <si>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</si>
  <si>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</si>
  <si>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</si>
  <si>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</si>
  <si>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</si>
  <si>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</si>
  <si>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</si>
  <si>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</si>
  <si>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</si>
  <si>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</si>
  <si>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</si>
  <si>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</si>
  <si>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</si>
  <si>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</si>
  <si>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</si>
  <si>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</si>
  <si>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</si>
  <si>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</si>
  <si>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</si>
  <si>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</si>
  <si>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</si>
  <si>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</si>
  <si>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</si>
  <si>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</si>
  <si>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</si>
  <si>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</si>
  <si>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</si>
  <si>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</si>
  <si>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</si>
  <si>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</si>
  <si>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</si>
  <si>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</si>
  <si>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</si>
  <si>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</si>
  <si>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</si>
  <si>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</si>
  <si>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</si>
  <si>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</si>
  <si>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</si>
  <si>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</si>
  <si>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</si>
  <si>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</si>
  <si>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</si>
  <si>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</si>
  <si>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</si>
  <si>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</si>
  <si>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</si>
  <si>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</si>
  <si>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</si>
  <si>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</si>
  <si>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</si>
  <si>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</si>
  <si>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</si>
  <si>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</si>
  <si>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</si>
  <si>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</si>
  <si>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</si>
  <si>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</si>
  <si>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</si>
  <si>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</si>
  <si>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</si>
  <si>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</si>
  <si>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</si>
  <si>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</si>
  <si>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</si>
  <si>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</si>
  <si>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</si>
  <si>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</si>
  <si>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</si>
  <si>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</si>
  <si>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</si>
  <si>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</si>
  <si>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</si>
  <si>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</si>
  <si>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</si>
  <si>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</si>
  <si>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</si>
  <si>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</si>
  <si>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</si>
  <si>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</si>
  <si>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</si>
  <si>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</si>
  <si>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</si>
  <si>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</si>
  <si>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</si>
  <si>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</si>
  <si>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</si>
  <si>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</si>
  <si>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</si>
  <si>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</si>
  <si>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</si>
  <si>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</si>
  <si>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</si>
  <si>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</si>
  <si>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</si>
  <si>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</si>
  <si>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</si>
  <si>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</si>
  <si>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</si>
  <si>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</si>
  <si>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</si>
  <si>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</si>
  <si>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</si>
  <si>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</si>
  <si>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</si>
  <si>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</si>
  <si>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</si>
  <si>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</si>
  <si>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</si>
  <si>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</si>
  <si>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</si>
  <si>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</si>
  <si>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</si>
  <si>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</si>
  <si>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</si>
  <si>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</si>
  <si>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</si>
  <si>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</si>
  <si>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</si>
  <si>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</si>
  <si>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</si>
  <si>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</si>
  <si>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</si>
  <si>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</si>
  <si>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</si>
  <si>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</si>
  <si>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</si>
  <si>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</si>
  <si>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</si>
  <si>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</si>
  <si>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</si>
  <si>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</si>
  <si>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</si>
  <si>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</si>
  <si>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</si>
  <si>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</si>
  <si>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</si>
  <si>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</si>
  <si>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</si>
  <si>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</si>
  <si>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</si>
  <si>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</si>
  <si>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</si>
  <si>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</si>
  <si>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</si>
  <si>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</si>
  <si>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</si>
  <si>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</si>
  <si>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</si>
  <si>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</si>
  <si>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</si>
  <si>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</si>
  <si>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</si>
  <si>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</si>
  <si>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</si>
  <si>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</si>
  <si>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</si>
  <si>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</si>
  <si>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</si>
  <si>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</si>
  <si>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</si>
  <si>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</si>
  <si>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</si>
  <si>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</si>
  <si>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</si>
  <si>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</si>
  <si>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</si>
  <si>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</si>
  <si>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</si>
  <si>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</si>
  <si>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</si>
  <si>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</si>
  <si>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</si>
  <si>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</si>
  <si>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</si>
  <si>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</si>
  <si>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</si>
  <si>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</si>
  <si>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</si>
  <si>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</si>
  <si>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</si>
  <si>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</si>
  <si>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</si>
  <si>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</si>
  <si>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</si>
  <si>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</si>
  <si>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</si>
  <si>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</si>
  <si>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</si>
  <si>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</si>
  <si>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</si>
  <si>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</si>
  <si>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</si>
  <si>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</si>
  <si>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</si>
  <si>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</si>
  <si>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</si>
  <si>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</si>
  <si>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</si>
  <si>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</si>
  <si>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</si>
  <si>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</si>
  <si>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</si>
  <si>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</si>
  <si>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</si>
  <si>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</si>
  <si>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</si>
  <si>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</si>
  <si>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</si>
  <si>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</si>
  <si>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</si>
  <si>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</si>
  <si>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</si>
  <si>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</si>
  <si>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</si>
  <si>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</si>
  <si>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</si>
  <si>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</si>
  <si>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</si>
  <si>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</si>
  <si>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</si>
  <si>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</si>
  <si>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</si>
  <si>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</si>
  <si>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</si>
  <si>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</si>
  <si>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</si>
  <si>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</si>
  <si>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</si>
  <si>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</si>
  <si>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</si>
  <si>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</si>
  <si>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</si>
  <si>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</si>
  <si>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</si>
  <si>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</si>
  <si>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</si>
  <si>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</si>
  <si>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</si>
  <si>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</si>
  <si>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</si>
  <si>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</si>
  <si>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</si>
  <si>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</si>
  <si>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</si>
  <si>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</si>
  <si>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</si>
  <si>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</si>
  <si>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</si>
  <si>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</si>
  <si>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</si>
  <si>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</si>
  <si>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</si>
  <si>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</si>
  <si>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</si>
  <si>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</si>
  <si>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</si>
  <si>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</si>
  <si>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</si>
  <si>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</si>
  <si>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</si>
  <si>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</si>
  <si>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</si>
  <si>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</si>
  <si>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</si>
  <si>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</si>
  <si>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</si>
  <si>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</si>
  <si>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</si>
  <si>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</si>
  <si>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</si>
  <si>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</si>
  <si>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</si>
  <si>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</si>
  <si>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</si>
  <si>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</si>
  <si>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</si>
  <si>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</si>
  <si>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</si>
  <si>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</si>
  <si>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</si>
  <si>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</si>
  <si>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</si>
  <si>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</si>
  <si>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</si>
  <si>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</si>
  <si>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</si>
  <si>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</si>
  <si>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</si>
  <si>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</si>
  <si>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</si>
  <si>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</si>
  <si>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</si>
  <si>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</si>
  <si>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</si>
  <si>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</si>
  <si>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</si>
  <si>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</si>
  <si>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</si>
  <si>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</si>
  <si>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</si>
  <si>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</si>
  <si>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</si>
  <si>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</si>
  <si>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</si>
  <si>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</si>
  <si>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</si>
  <si>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</si>
  <si>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</si>
  <si>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</si>
  <si>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</si>
  <si>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</si>
  <si>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</si>
  <si>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</si>
  <si>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</si>
  <si>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</si>
  <si>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</si>
  <si>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</si>
  <si>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</si>
  <si>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</si>
  <si>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</si>
  <si>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</si>
  <si>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</si>
  <si>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</si>
  <si>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</si>
  <si>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</si>
  <si>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</si>
  <si>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</si>
  <si>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</si>
  <si>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</si>
  <si>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</si>
  <si>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</si>
  <si>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</si>
  <si>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</si>
  <si>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</si>
  <si>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</si>
  <si>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</si>
  <si>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</si>
  <si>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</si>
  <si>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</si>
  <si>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</si>
  <si>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</si>
  <si>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</si>
  <si>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</si>
  <si>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</si>
  <si>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</si>
  <si>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</si>
  <si>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</si>
  <si>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</si>
  <si>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</si>
  <si>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</si>
  <si>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</si>
  <si>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</si>
  <si>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</si>
  <si>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</si>
  <si>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</si>
  <si>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</si>
  <si>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</si>
  <si>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</si>
  <si>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</si>
  <si>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</si>
  <si>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</si>
  <si>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</si>
  <si>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</si>
  <si>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</si>
  <si>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</si>
  <si>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</si>
  <si>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</si>
  <si>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</si>
  <si>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</si>
  <si>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</si>
  <si>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</si>
  <si>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</si>
  <si>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</si>
  <si>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</si>
  <si>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</si>
  <si>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</si>
  <si>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</si>
  <si>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</si>
  <si>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</si>
  <si>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</si>
  <si>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</si>
  <si>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</si>
  <si>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</si>
  <si>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</si>
  <si>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</si>
  <si>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</si>
  <si>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</si>
  <si>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</si>
  <si>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</si>
  <si>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</si>
  <si>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</si>
  <si>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</si>
  <si>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</si>
  <si>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</si>
  <si>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</si>
  <si>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</si>
  <si>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</si>
  <si>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</si>
  <si>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</si>
  <si>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</si>
  <si>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</si>
  <si>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</si>
  <si>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</si>
  <si>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</si>
  <si>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</si>
  <si>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</si>
  <si>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</si>
  <si>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</si>
  <si>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</si>
  <si>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</si>
  <si>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</si>
  <si>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</si>
  <si>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</si>
  <si>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</si>
  <si>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</si>
  <si>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</si>
  <si>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</si>
  <si>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</si>
  <si>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</si>
  <si>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</si>
  <si>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</si>
  <si>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</si>
  <si>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</si>
  <si>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</si>
  <si>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</si>
  <si>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</si>
  <si>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</si>
  <si>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</si>
  <si>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</si>
  <si>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</si>
  <si>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</si>
  <si>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</si>
  <si>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</si>
  <si>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</si>
  <si>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</si>
  <si>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</si>
  <si>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</si>
  <si>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</si>
  <si>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</si>
  <si>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</si>
  <si>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</si>
  <si>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</si>
  <si>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</si>
  <si>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</si>
  <si>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</si>
  <si>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</si>
  <si>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</si>
  <si>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</si>
  <si>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</si>
  <si>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</si>
  <si>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</si>
  <si>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</si>
  <si>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</si>
  <si>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</si>
  <si>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</si>
  <si>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</si>
  <si>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</si>
  <si>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</si>
  <si>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</si>
  <si>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</si>
  <si>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</si>
  <si>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</si>
  <si>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</si>
  <si>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</si>
  <si>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</si>
  <si>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</si>
  <si>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</si>
  <si>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</si>
  <si>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</si>
  <si>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</si>
  <si>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</si>
  <si>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</si>
  <si>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</si>
  <si>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</si>
  <si>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</si>
  <si>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</si>
  <si>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</si>
  <si>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</si>
  <si>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</si>
  <si>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</si>
  <si>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</si>
  <si>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</si>
  <si>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</si>
  <si>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</si>
  <si>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</si>
  <si>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</si>
  <si>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</si>
  <si>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</si>
  <si>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</si>
  <si>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</si>
  <si>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</si>
  <si>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</si>
  <si>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</si>
  <si>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</si>
  <si>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</si>
  <si>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</si>
  <si>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</si>
  <si>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</si>
  <si>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</si>
  <si>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</si>
  <si>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</si>
  <si>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</si>
  <si>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</si>
  <si>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</si>
  <si>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</si>
  <si>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</si>
  <si>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</si>
  <si>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</si>
  <si>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</si>
  <si>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</si>
  <si>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</si>
  <si>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</si>
  <si>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</si>
  <si>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</si>
  <si>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</si>
  <si>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</si>
  <si>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</si>
  <si>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</si>
  <si>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</si>
  <si>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</si>
  <si>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</si>
  <si>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</si>
  <si>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</si>
  <si>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</si>
  <si>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</si>
  <si>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</si>
  <si>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</si>
  <si>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</si>
  <si>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</si>
  <si>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</si>
  <si>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</si>
  <si>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</si>
  <si>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</si>
  <si>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</si>
  <si>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</si>
  <si>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</si>
  <si>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</si>
  <si>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</si>
  <si>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</si>
  <si>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</si>
  <si>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</si>
  <si>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</si>
  <si>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</si>
  <si>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</si>
  <si>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</si>
  <si>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</si>
  <si>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</si>
  <si>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</si>
  <si>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</si>
  <si>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</si>
  <si>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</si>
  <si>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</si>
  <si>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</si>
  <si>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</si>
  <si>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</si>
  <si>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</si>
  <si>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</si>
  <si>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</si>
  <si>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</si>
  <si>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</si>
  <si>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</si>
  <si>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</si>
  <si>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</si>
  <si>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</si>
  <si>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</si>
  <si>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</si>
  <si>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</si>
  <si>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</si>
  <si>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</si>
  <si>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</si>
  <si>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</si>
  <si>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</si>
  <si>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</si>
  <si>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</si>
  <si>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</si>
  <si>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</si>
  <si>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</si>
  <si>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</si>
  <si>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</si>
  <si>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</si>
  <si>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</si>
  <si>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</si>
  <si>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</si>
  <si>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</si>
  <si>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</si>
  <si>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</si>
  <si>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</si>
  <si>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</si>
  <si>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</si>
  <si>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</si>
  <si>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</si>
  <si>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</si>
  <si>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</si>
  <si>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</si>
  <si>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</si>
  <si>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</si>
  <si>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</si>
  <si>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</si>
  <si>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</si>
  <si>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</si>
  <si>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</si>
  <si>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</si>
  <si>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</si>
  <si>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</si>
  <si>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</si>
  <si>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</si>
  <si>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</si>
  <si>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</si>
  <si>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</si>
  <si>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</si>
  <si>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</si>
  <si>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</si>
  <si>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</si>
  <si>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</si>
  <si>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</si>
  <si>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</si>
  <si>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</si>
  <si>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</si>
  <si>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</si>
  <si>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</si>
  <si>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</si>
  <si>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</si>
  <si>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</si>
  <si>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</si>
  <si>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</si>
  <si>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</si>
  <si>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</si>
  <si>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</si>
  <si>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</si>
  <si>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</si>
  <si>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</si>
  <si>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</si>
  <si>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</si>
  <si>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</si>
  <si>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</si>
  <si>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</si>
  <si>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</si>
  <si>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</si>
  <si>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</si>
  <si>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</si>
  <si>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</si>
  <si>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</si>
  <si>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</si>
  <si>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</si>
  <si>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</si>
  <si>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</si>
  <si>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</si>
  <si>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</si>
  <si>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</si>
  <si>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</si>
  <si>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</si>
  <si>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</si>
  <si>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</si>
  <si>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</si>
  <si>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</si>
  <si>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</si>
  <si>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</si>
  <si>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</si>
  <si>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</si>
  <si>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</si>
  <si>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</si>
  <si>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</si>
  <si>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</si>
  <si>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</si>
  <si>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</si>
  <si>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</si>
  <si>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</si>
  <si>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</si>
  <si>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</si>
  <si>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</si>
  <si>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</si>
  <si>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</si>
  <si>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</si>
  <si>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</si>
  <si>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</si>
  <si>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</si>
  <si>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</si>
  <si>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</si>
  <si>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</si>
  <si>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</si>
  <si>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</si>
  <si>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</si>
  <si>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</si>
  <si>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</si>
  <si>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</si>
  <si>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</si>
  <si>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</si>
  <si>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</si>
  <si>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</si>
  <si>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</si>
  <si>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</si>
  <si>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</si>
  <si>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</si>
  <si>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</si>
  <si>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</si>
  <si>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</si>
  <si>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</si>
  <si>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</si>
  <si>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</si>
  <si>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</si>
  <si>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</si>
  <si>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</si>
  <si>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</si>
  <si>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</si>
  <si>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</si>
  <si>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</si>
  <si>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</si>
  <si>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</si>
  <si>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</si>
  <si>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</si>
  <si>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</si>
  <si>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</si>
  <si>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</si>
  <si>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</si>
  <si>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</si>
  <si>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</si>
  <si>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</si>
  <si>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</si>
  <si>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</si>
  <si>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</si>
  <si>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</si>
  <si>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</si>
  <si>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</si>
  <si>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</si>
  <si>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</si>
  <si>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</si>
  <si>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</si>
  <si>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</si>
  <si>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</si>
  <si>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</si>
  <si>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</si>
  <si>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</si>
  <si>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</si>
  <si>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</si>
  <si>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</si>
  <si>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</si>
  <si>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</si>
  <si>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</si>
  <si>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</si>
  <si>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</si>
  <si>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</si>
  <si>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</si>
  <si>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</si>
  <si>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</si>
  <si>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</si>
  <si>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</si>
  <si>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</si>
  <si>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</si>
  <si>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</si>
  <si>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</si>
  <si>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</si>
  <si>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</si>
  <si>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</si>
  <si>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</si>
  <si>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</si>
  <si>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</si>
  <si>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</si>
  <si>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</si>
  <si>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</si>
  <si>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</si>
  <si>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</si>
  <si>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</si>
  <si>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</si>
  <si>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</si>
  <si>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</si>
  <si>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</si>
  <si>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</si>
  <si>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</si>
  <si>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</si>
  <si>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</si>
  <si>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</si>
  <si>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</si>
  <si>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</si>
  <si>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</si>
  <si>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</si>
  <si>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</si>
  <si>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</si>
  <si>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</si>
  <si>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</si>
  <si>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</si>
  <si>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</si>
  <si>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</si>
  <si>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</si>
  <si>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</si>
  <si>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</si>
  <si>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</si>
  <si>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</si>
  <si>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</si>
  <si>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</si>
  <si>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</si>
  <si>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</si>
  <si>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</si>
  <si>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</si>
  <si>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</si>
  <si>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</si>
  <si>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</si>
  <si>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</si>
  <si>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</si>
  <si>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</si>
  <si>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</si>
  <si>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</si>
  <si>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</si>
  <si>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</si>
  <si>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</si>
  <si>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</si>
  <si>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</si>
  <si>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</si>
  <si>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</si>
  <si>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</si>
  <si>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</si>
  <si>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</si>
  <si>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</si>
  <si>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</si>
  <si>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</si>
  <si>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</si>
  <si>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</si>
  <si>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</si>
  <si>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</si>
  <si>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</si>
  <si>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</si>
  <si>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</si>
  <si>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</si>
  <si>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</si>
  <si>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</si>
  <si>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</si>
  <si>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</si>
  <si>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</si>
  <si>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</si>
  <si>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</si>
  <si>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</si>
  <si>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</si>
  <si>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</si>
  <si>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</si>
  <si>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</si>
  <si>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</si>
  <si>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</si>
  <si>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</si>
  <si>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</si>
  <si>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</si>
  <si>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</si>
  <si>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</si>
  <si>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</si>
  <si>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</si>
  <si>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</si>
  <si>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</si>
  <si>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</si>
  <si>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</si>
  <si>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</si>
  <si>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</si>
  <si>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</si>
  <si>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</si>
  <si>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</si>
  <si>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</si>
  <si>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</si>
  <si>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</si>
  <si>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</si>
  <si>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</si>
  <si>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</si>
  <si>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</si>
  <si>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</si>
  <si>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</si>
  <si>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</si>
  <si>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</si>
  <si>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</si>
  <si>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</si>
  <si>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</si>
  <si>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</si>
  <si>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</si>
  <si>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</si>
  <si>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</si>
  <si>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</si>
  <si>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</si>
  <si>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</si>
  <si>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</si>
  <si>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</si>
  <si>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</si>
  <si>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</si>
  <si>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</si>
  <si>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</si>
  <si>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</si>
  <si>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</si>
  <si>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</si>
  <si>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</si>
  <si>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</si>
  <si>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</si>
  <si>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</si>
  <si>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</si>
  <si>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</si>
  <si>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</si>
  <si>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</si>
  <si>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</si>
  <si>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</si>
  <si>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</si>
  <si>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</si>
  <si>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</si>
  <si>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</si>
  <si>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</si>
  <si>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</si>
  <si>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</si>
  <si>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</si>
  <si>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</si>
  <si>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</si>
  <si>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</si>
  <si>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</si>
  <si>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</si>
  <si>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</si>
  <si>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</si>
  <si>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</si>
  <si>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</si>
  <si>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</si>
  <si>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</si>
  <si>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</si>
  <si>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</si>
  <si>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</si>
  <si>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</si>
  <si>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</si>
  <si>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</si>
  <si>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</si>
  <si>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</si>
  <si>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</si>
  <si>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</si>
  <si>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</si>
  <si>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</si>
  <si>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</si>
  <si>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</si>
  <si>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</si>
  <si>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</si>
  <si>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</si>
  <si>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</si>
  <si>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</si>
  <si>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</si>
  <si>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</si>
  <si>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</si>
  <si>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</si>
  <si>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</si>
  <si>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</si>
  <si>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</si>
  <si>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</si>
  <si>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</si>
  <si>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</si>
  <si>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</si>
  <si>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</si>
  <si>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</si>
  <si>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</si>
  <si>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</si>
  <si>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</si>
  <si>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</si>
  <si>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</si>
  <si>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</si>
  <si>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</si>
  <si>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</si>
  <si>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</si>
  <si>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</si>
  <si>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</si>
  <si>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</si>
  <si>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</si>
  <si>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</si>
  <si>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</si>
  <si>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</si>
  <si>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</si>
  <si>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</si>
  <si>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</si>
  <si>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</si>
  <si>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</si>
  <si>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</si>
  <si>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</si>
  <si>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</si>
  <si>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</si>
  <si>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</si>
  <si>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</si>
  <si>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</si>
  <si>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</si>
  <si>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</si>
  <si>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</si>
  <si>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</si>
  <si>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</si>
  <si>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</si>
  <si>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</si>
  <si>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</si>
  <si>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</si>
  <si>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</si>
  <si>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</si>
  <si>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</si>
  <si>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</si>
  <si>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</si>
  <si>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</si>
  <si>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</si>
  <si>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</si>
  <si>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</si>
  <si>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</si>
  <si>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</si>
  <si>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</si>
  <si>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</si>
  <si>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</si>
  <si>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</si>
  <si>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</si>
  <si>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</si>
  <si>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</si>
  <si>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</si>
  <si>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</si>
  <si>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</si>
  <si>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</si>
  <si>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</si>
  <si>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</si>
  <si>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</si>
  <si>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</si>
  <si>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</si>
  <si>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</si>
  <si>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</si>
  <si>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</si>
  <si>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</si>
  <si>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</si>
  <si>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</si>
  <si>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</si>
  <si>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</si>
  <si>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</si>
  <si>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</si>
  <si>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</si>
  <si>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</si>
  <si>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</si>
  <si>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</si>
  <si>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</si>
  <si>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</si>
  <si>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</si>
  <si>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</si>
  <si>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</si>
  <si>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</si>
  <si>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</si>
  <si>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</si>
  <si>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</si>
  <si>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</si>
  <si>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</si>
  <si>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</si>
  <si>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</si>
  <si>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</si>
  <si>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</si>
  <si>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</si>
  <si>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</si>
  <si>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</si>
  <si>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</si>
  <si>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</si>
  <si>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</si>
  <si>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</si>
  <si>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</si>
  <si>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</si>
  <si>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</si>
  <si>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</si>
  <si>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</si>
  <si>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</si>
  <si>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</si>
  <si>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</si>
  <si>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</si>
  <si>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</si>
  <si>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</si>
  <si>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</si>
  <si>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</si>
  <si>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</si>
  <si>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</si>
  <si>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</si>
  <si>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</si>
  <si>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</si>
  <si>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</si>
  <si>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</si>
  <si>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</si>
  <si>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</si>
  <si>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</si>
  <si>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</si>
  <si>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</si>
  <si>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</si>
  <si>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</si>
  <si>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</si>
  <si>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</si>
  <si>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</si>
  <si>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</si>
  <si>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</si>
  <si>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</si>
  <si>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</si>
  <si>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</si>
  <si>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</si>
  <si>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</si>
  <si>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</si>
  <si>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</si>
  <si>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</si>
  <si>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</si>
  <si>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</si>
  <si>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</si>
  <si>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</si>
  <si>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</si>
  <si>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</si>
  <si>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</si>
  <si>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</si>
  <si>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</si>
  <si>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</si>
  <si>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</si>
  <si>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</si>
  <si>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</si>
  <si>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</si>
  <si>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</si>
  <si>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</si>
  <si>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</si>
  <si>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</si>
  <si>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</si>
  <si>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</si>
  <si>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</si>
  <si>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</si>
  <si>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</si>
  <si>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</si>
  <si>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</si>
  <si>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</si>
  <si>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</si>
  <si>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</si>
  <si>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</si>
  <si>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</si>
  <si>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</si>
  <si>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</si>
  <si>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</si>
  <si>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</si>
  <si>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</si>
  <si>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</si>
  <si>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</si>
  <si>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</si>
  <si>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</si>
  <si>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</si>
  <si>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</si>
  <si>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</si>
  <si>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</si>
  <si>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</si>
  <si>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</si>
  <si>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</si>
  <si>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</si>
  <si>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</si>
  <si>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</si>
  <si>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</si>
  <si>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</si>
  <si>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</si>
  <si>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</si>
  <si>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</si>
  <si>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</si>
  <si>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</si>
  <si>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</si>
  <si>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</si>
  <si>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</si>
  <si>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</si>
  <si>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</si>
  <si>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</si>
  <si>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</si>
  <si>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</si>
  <si>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</si>
  <si>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</si>
  <si>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</si>
  <si>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</si>
  <si>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</si>
  <si>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</si>
  <si>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</si>
  <si>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</si>
  <si>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</si>
  <si>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</si>
  <si>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</si>
  <si>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</si>
  <si>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</si>
  <si>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</si>
  <si>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</si>
  <si>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</si>
  <si>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</si>
  <si>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</si>
  <si>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</si>
  <si>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</si>
  <si>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</si>
  <si>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</si>
  <si>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</si>
  <si>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</si>
  <si>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</si>
  <si>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</si>
  <si>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</si>
  <si>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</si>
  <si>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</si>
  <si>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</si>
  <si>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</si>
  <si>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</si>
  <si>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</si>
  <si>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</si>
  <si>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</si>
  <si>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</si>
  <si>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</si>
  <si>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</si>
  <si>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</si>
  <si>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</si>
  <si>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</si>
  <si>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</si>
  <si>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</si>
  <si>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</si>
  <si>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</si>
  <si>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</si>
  <si>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</si>
  <si>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</si>
  <si>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</si>
  <si>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</si>
  <si>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</si>
  <si>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</si>
  <si>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</si>
  <si>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</si>
  <si>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</si>
  <si>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</si>
  <si>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</si>
  <si>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</si>
  <si>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</si>
  <si>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</si>
  <si>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</si>
  <si>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</si>
  <si>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</si>
  <si>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</si>
  <si>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</si>
  <si>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</si>
  <si>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</si>
  <si>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</si>
  <si>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</si>
  <si>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</si>
  <si>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</si>
  <si>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</si>
  <si>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</si>
  <si>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</si>
  <si>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</si>
  <si>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</si>
  <si>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</si>
  <si>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</si>
  <si>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</si>
  <si>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</si>
  <si>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</si>
  <si>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</si>
  <si>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</si>
  <si>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</si>
  <si>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</si>
  <si>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</si>
  <si>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</si>
  <si>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</si>
  <si>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</si>
  <si>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</si>
  <si>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</si>
  <si>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</si>
  <si>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</si>
  <si>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</si>
  <si>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</si>
  <si>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</si>
  <si>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</si>
  <si>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</si>
  <si>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</si>
  <si>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</si>
  <si>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</si>
  <si>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</si>
  <si>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</si>
  <si>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</si>
  <si>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</si>
  <si>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</si>
  <si>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</si>
  <si>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</si>
  <si>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</si>
  <si>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</si>
  <si>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</si>
  <si>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</si>
  <si>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</si>
  <si>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</si>
  <si>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</si>
  <si>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</si>
  <si>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</si>
  <si>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</si>
  <si>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</si>
  <si>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</si>
  <si>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</si>
  <si>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</si>
  <si>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</si>
  <si>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</si>
  <si>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</si>
  <si>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</si>
  <si>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</si>
  <si>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</si>
  <si>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</si>
  <si>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</si>
  <si>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</si>
  <si>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</si>
  <si>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</si>
  <si>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</si>
  <si>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</si>
  <si>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</si>
  <si>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</si>
  <si>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</si>
  <si>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</si>
  <si>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</si>
  <si>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</si>
  <si>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</si>
  <si>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</si>
  <si>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</si>
  <si>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</si>
  <si>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</si>
  <si>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</si>
  <si>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</si>
  <si>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</si>
  <si>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</si>
  <si>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</si>
  <si>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</si>
  <si>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</si>
  <si>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</si>
  <si>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</si>
  <si>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</si>
  <si>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</si>
  <si>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</si>
  <si>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</si>
  <si>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</si>
  <si>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</si>
  <si>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</si>
  <si>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</si>
  <si>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</si>
  <si>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</si>
  <si>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</si>
  <si>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</si>
  <si>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</si>
  <si>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</si>
  <si>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</si>
  <si>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</si>
  <si>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</si>
  <si>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</si>
  <si>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</si>
  <si>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</si>
  <si>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</si>
  <si>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</si>
  <si>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</si>
  <si>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</si>
  <si>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</si>
  <si>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</si>
  <si>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</si>
  <si>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</si>
  <si>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</si>
  <si>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</si>
  <si>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</si>
  <si>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</si>
  <si>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</si>
  <si>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</si>
  <si>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</si>
  <si>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</si>
  <si>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</si>
  <si>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</si>
  <si>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</si>
  <si>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</si>
  <si>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</si>
  <si>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</si>
  <si>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</si>
  <si>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</si>
  <si>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</si>
  <si>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</si>
  <si>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</si>
  <si>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</si>
  <si>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</si>
  <si>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</si>
  <si>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</si>
  <si>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</si>
  <si>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</si>
  <si>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</si>
  <si>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</si>
  <si>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</si>
  <si>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</si>
  <si>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</si>
  <si>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</si>
  <si>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</si>
  <si>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</si>
  <si>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</si>
  <si>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</si>
  <si>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</si>
  <si>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</si>
  <si>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</si>
  <si>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</si>
  <si>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</si>
  <si>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</si>
  <si>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</si>
  <si>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</si>
  <si>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</si>
  <si>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</si>
  <si>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</si>
  <si>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</si>
  <si>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</si>
  <si>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</si>
  <si>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</si>
  <si>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</si>
  <si>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</si>
  <si>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</si>
  <si>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</si>
  <si>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</si>
  <si>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</si>
  <si>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</si>
  <si>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</si>
  <si>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</si>
  <si>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</si>
  <si>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</si>
  <si>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</si>
  <si>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</si>
  <si>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</si>
  <si>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</si>
  <si>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</si>
  <si>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</si>
  <si>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</si>
  <si>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</si>
  <si>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</si>
  <si>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</si>
  <si>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</si>
  <si>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</si>
  <si>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</si>
  <si>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</si>
  <si>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</si>
  <si>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</si>
  <si>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</si>
  <si>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</si>
  <si>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</si>
  <si>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</si>
  <si>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</si>
  <si>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</si>
  <si>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</si>
  <si>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</si>
  <si>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</si>
  <si>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</si>
  <si>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</si>
  <si>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</si>
  <si>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</si>
  <si>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</si>
  <si>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</si>
  <si>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</si>
  <si>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</si>
  <si>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</si>
  <si>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</si>
  <si>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</si>
  <si>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</si>
  <si>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</si>
  <si>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</si>
  <si>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</si>
  <si>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</si>
  <si>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</si>
  <si>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</si>
  <si>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</si>
  <si>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</si>
  <si>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</si>
  <si>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</si>
  <si>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</si>
  <si>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</si>
  <si>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</si>
  <si>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</si>
  <si>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</si>
  <si>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</si>
  <si>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</si>
  <si>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</si>
  <si>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</si>
  <si>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</si>
  <si>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</si>
  <si>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</si>
  <si>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</si>
  <si>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</si>
  <si>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</si>
  <si>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</si>
  <si>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</si>
  <si>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</si>
  <si>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</si>
  <si>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</si>
  <si>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</si>
  <si>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</si>
  <si>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</si>
  <si>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</si>
  <si>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</si>
  <si>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</si>
  <si>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</si>
  <si>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</si>
  <si>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</si>
  <si>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</si>
  <si>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</si>
  <si>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</si>
  <si>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</si>
  <si>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</si>
  <si>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</si>
  <si>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</si>
  <si>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</si>
  <si>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</si>
  <si>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</si>
  <si>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</si>
  <si>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</si>
  <si>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</si>
  <si>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</si>
  <si>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</si>
  <si>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</si>
  <si>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</si>
  <si>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</si>
  <si>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</si>
  <si>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</si>
  <si>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</si>
  <si>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</si>
  <si>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</si>
  <si>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</si>
  <si>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</si>
  <si>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</si>
  <si>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</si>
  <si>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</si>
  <si>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</si>
  <si>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</si>
  <si>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</si>
  <si>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</si>
  <si>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</si>
  <si>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</si>
  <si>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</si>
  <si>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</si>
  <si>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</si>
  <si>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</si>
  <si>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</si>
  <si>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</si>
  <si>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</si>
  <si>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</si>
  <si>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</si>
  <si>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</si>
  <si>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</si>
  <si>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</si>
  <si>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</si>
  <si>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</si>
  <si>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</si>
  <si>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</si>
  <si>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</si>
  <si>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</si>
  <si>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</si>
  <si>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</si>
  <si>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</si>
  <si>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</si>
  <si>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</si>
  <si>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</si>
  <si>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</si>
  <si>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</si>
  <si>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</si>
  <si>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</si>
  <si>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</si>
  <si>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</si>
  <si>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</si>
  <si>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</si>
  <si>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</si>
  <si>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</si>
  <si>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</si>
  <si>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</si>
  <si>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</si>
  <si>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</si>
  <si>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</si>
  <si>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</si>
  <si>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</si>
  <si>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</si>
  <si>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</si>
  <si>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</si>
  <si>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</si>
  <si>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</si>
  <si>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</si>
  <si>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</si>
  <si>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</si>
  <si>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</si>
  <si>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</si>
  <si>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</si>
  <si>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</si>
  <si>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</si>
  <si>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</si>
  <si>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</si>
  <si>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</si>
  <si>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</si>
  <si>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</si>
  <si>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</si>
  <si>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</si>
  <si>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</si>
  <si>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</si>
  <si>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</si>
  <si>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</si>
  <si>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</si>
  <si>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</si>
  <si>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</si>
  <si>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</si>
  <si>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</si>
  <si>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</si>
  <si>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</si>
  <si>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</si>
  <si>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</si>
  <si>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</si>
  <si>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</si>
  <si>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</si>
  <si>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</si>
  <si>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</si>
  <si>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</si>
  <si>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</si>
  <si>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</si>
  <si>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</si>
  <si>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</si>
  <si>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</si>
  <si>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</si>
  <si>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</si>
  <si>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</si>
  <si>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</si>
  <si>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</si>
  <si>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</si>
  <si>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</si>
  <si>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</si>
  <si>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</si>
  <si>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</si>
  <si>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</si>
  <si>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</si>
  <si>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</si>
  <si>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</si>
  <si>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</si>
  <si>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</si>
  <si>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</si>
  <si>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</si>
  <si>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</si>
  <si>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</si>
  <si>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</si>
  <si>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</si>
  <si>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</si>
  <si>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</si>
  <si>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</si>
  <si>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</si>
  <si>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</si>
  <si>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</si>
  <si>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</si>
  <si>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</si>
  <si>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</si>
  <si>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</si>
  <si>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</si>
  <si>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</si>
  <si>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</si>
  <si>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</si>
  <si>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</si>
  <si>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</si>
  <si>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</si>
  <si>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</si>
  <si>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</si>
  <si>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</si>
  <si>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</si>
  <si>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</si>
  <si>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</si>
  <si>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</si>
  <si>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</si>
  <si>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</si>
  <si>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</si>
  <si>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</si>
  <si>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</si>
  <si>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</si>
  <si>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</si>
  <si>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</si>
  <si>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</si>
  <si>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</si>
  <si>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</si>
  <si>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</si>
  <si>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</si>
  <si>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</si>
  <si>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</si>
  <si>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</si>
  <si>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</si>
  <si>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</si>
  <si>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</si>
  <si>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</si>
  <si>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</si>
  <si>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</si>
  <si>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</si>
  <si>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</si>
  <si>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</si>
  <si>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</si>
  <si>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</si>
  <si>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</si>
  <si>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</si>
  <si>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</si>
  <si>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</si>
  <si>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</si>
  <si>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</si>
  <si>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</si>
  <si>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</si>
  <si>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</si>
  <si>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</si>
  <si>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</si>
  <si>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</si>
  <si>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</si>
  <si>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</si>
  <si>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</si>
  <si>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</si>
  <si>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</si>
  <si>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</si>
  <si>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</si>
  <si>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</si>
  <si>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</si>
  <si>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</si>
  <si>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</si>
  <si>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</si>
  <si>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</si>
  <si>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</si>
  <si>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</si>
  <si>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</si>
  <si>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</si>
  <si>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</si>
  <si>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</si>
  <si>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</si>
  <si>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</si>
  <si>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</si>
  <si>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</si>
  <si>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</si>
  <si>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</si>
  <si>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</si>
  <si>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</si>
  <si>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</si>
  <si>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</si>
  <si>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</si>
  <si>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</si>
  <si>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</si>
  <si>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</si>
  <si>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</si>
  <si>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</si>
  <si>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</si>
  <si>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</si>
  <si>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</si>
  <si>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</si>
  <si>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</si>
  <si>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</si>
  <si>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</si>
  <si>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</si>
  <si>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</si>
  <si>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</si>
  <si>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</si>
  <si>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</si>
  <si>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</si>
  <si>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</si>
  <si>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</si>
  <si>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</si>
  <si>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</si>
  <si>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</si>
  <si>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</si>
  <si>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</si>
  <si>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</si>
  <si>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</si>
  <si>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</si>
  <si>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</si>
  <si>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</si>
  <si>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</si>
  <si>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</si>
  <si>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</si>
  <si>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</si>
  <si>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</si>
  <si>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</si>
  <si>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</si>
  <si>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</si>
  <si>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</si>
  <si>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</si>
  <si>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</si>
  <si>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</si>
  <si>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</si>
  <si>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</si>
  <si>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</si>
  <si>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</si>
  <si>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</si>
  <si>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</si>
  <si>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</si>
  <si>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</si>
  <si>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</si>
  <si>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</si>
  <si>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</si>
  <si>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</si>
  <si>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</si>
  <si>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</si>
  <si>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</si>
  <si>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</si>
  <si>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</si>
  <si>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</si>
  <si>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</si>
  <si>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</si>
  <si>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</si>
  <si>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</si>
  <si>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</si>
  <si>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</si>
  <si>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</si>
  <si>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</si>
  <si>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</si>
  <si>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</si>
  <si>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</si>
  <si>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</si>
  <si>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</si>
  <si>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</si>
  <si>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</si>
  <si>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</si>
  <si>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</si>
  <si>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</si>
  <si>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</si>
  <si>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</si>
  <si>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</si>
  <si>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</si>
  <si>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</si>
  <si>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</si>
  <si>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</si>
  <si>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</si>
  <si>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</si>
  <si>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</si>
  <si>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</si>
  <si>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</si>
  <si>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</si>
  <si>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</si>
  <si>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</si>
  <si>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</si>
  <si>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</si>
  <si>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</si>
  <si>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</si>
  <si>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</si>
  <si>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</si>
  <si>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</si>
  <si>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</si>
  <si>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</si>
  <si>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</si>
  <si>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</si>
  <si>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</si>
  <si>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</si>
  <si>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</si>
  <si>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</si>
  <si>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</si>
  <si>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</si>
  <si>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</si>
  <si>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</si>
  <si>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</si>
  <si>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</si>
  <si>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</si>
  <si>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</si>
  <si>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</si>
  <si>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</si>
  <si>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</si>
  <si>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</si>
  <si>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</si>
  <si>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</si>
  <si>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</si>
  <si>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</si>
  <si>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</si>
  <si>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</si>
  <si>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</si>
  <si>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</si>
  <si>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</si>
  <si>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</si>
  <si>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</si>
  <si>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</si>
  <si>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</si>
  <si>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</si>
  <si>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</si>
  <si>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</si>
  <si>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</si>
  <si>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</si>
  <si>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</si>
  <si>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</si>
  <si>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</si>
  <si>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</si>
  <si>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</si>
  <si>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</si>
  <si>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</si>
  <si>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</si>
  <si>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</si>
  <si>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</si>
  <si>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</si>
  <si>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</si>
  <si>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</si>
  <si>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</si>
  <si>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</si>
  <si>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</si>
  <si>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</si>
  <si>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</si>
  <si>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</si>
  <si>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</si>
  <si>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</si>
  <si>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</si>
  <si>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</si>
  <si>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</si>
  <si>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</si>
  <si>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</si>
  <si>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</si>
  <si>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</si>
  <si>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</si>
  <si>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</si>
  <si>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</si>
  <si>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</si>
  <si>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</si>
  <si>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</si>
  <si>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</si>
  <si>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</si>
  <si>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</si>
  <si>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</si>
  <si>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</si>
  <si>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</si>
  <si>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</si>
  <si>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</si>
  <si>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</si>
  <si>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</si>
  <si>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</si>
  <si>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</si>
  <si>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</si>
  <si>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</si>
  <si>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</si>
  <si>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</si>
  <si>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</si>
  <si>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</si>
  <si>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</si>
  <si>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</si>
  <si>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</si>
  <si>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</si>
  <si>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</si>
  <si>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</si>
  <si>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</si>
  <si>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</si>
  <si>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</si>
  <si>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</si>
  <si>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</si>
  <si>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</si>
  <si>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</si>
  <si>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</si>
  <si>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</si>
  <si>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</si>
  <si>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</si>
  <si>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</si>
  <si>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</si>
  <si>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</si>
  <si>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</si>
  <si>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</si>
  <si>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</si>
  <si>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</si>
  <si>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</si>
  <si>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</si>
  <si>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</si>
  <si>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</si>
  <si>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</si>
  <si>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</si>
  <si>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</si>
  <si>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</si>
  <si>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</si>
  <si>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</si>
  <si>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</si>
  <si>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</si>
  <si>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</si>
  <si>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</si>
  <si>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</si>
  <si>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</si>
  <si>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</si>
  <si>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</si>
  <si>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</si>
  <si>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</si>
  <si>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</si>
  <si>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</si>
  <si>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</si>
  <si>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</si>
  <si>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</si>
  <si>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</si>
  <si>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</si>
  <si>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</si>
  <si>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</si>
  <si>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</si>
  <si>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</si>
  <si>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</si>
  <si>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</si>
  <si>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</si>
  <si>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</si>
  <si>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</si>
  <si>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</si>
  <si>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</si>
  <si>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</si>
  <si>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</si>
  <si>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</si>
  <si>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</si>
  <si>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</si>
  <si>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</si>
  <si>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</si>
  <si>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</si>
  <si>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</si>
  <si>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</si>
  <si>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</si>
  <si>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</si>
  <si>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</si>
  <si>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</si>
  <si>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</si>
  <si>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</si>
  <si>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</si>
  <si>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</si>
  <si>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</si>
  <si>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</si>
  <si>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</si>
  <si>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</si>
  <si>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</si>
  <si>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</si>
  <si>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</si>
  <si>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</si>
  <si>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</si>
  <si>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</si>
  <si>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</si>
  <si>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</si>
  <si>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</si>
  <si>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</si>
  <si>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</si>
  <si>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</si>
  <si>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</si>
  <si>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</si>
  <si>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</si>
  <si>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</si>
  <si>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</si>
  <si>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</si>
  <si>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</si>
  <si>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</si>
  <si>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</si>
  <si>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</si>
  <si>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</si>
  <si>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</si>
  <si>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</si>
  <si>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</si>
  <si>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</si>
  <si>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</si>
  <si>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</si>
  <si>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</si>
  <si>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</si>
  <si>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</si>
  <si>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</si>
  <si>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</si>
  <si>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</si>
  <si>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</si>
  <si>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</si>
  <si>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</si>
  <si>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</si>
  <si>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</si>
  <si>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</si>
  <si>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</si>
  <si>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</si>
  <si>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</si>
  <si>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</si>
  <si>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</si>
  <si>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</si>
  <si>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</si>
  <si>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</si>
  <si>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</si>
  <si>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</si>
  <si>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</si>
  <si>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</si>
  <si>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</si>
  <si>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</si>
  <si>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</si>
  <si>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</si>
  <si>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</si>
  <si>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</si>
  <si>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</si>
  <si>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</si>
  <si>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</si>
  <si>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</si>
  <si>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</si>
  <si>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</si>
  <si>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</si>
  <si>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</si>
  <si>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</si>
  <si>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</si>
  <si>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</si>
  <si>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</si>
  <si>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</si>
  <si>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</si>
  <si>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</si>
  <si>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</si>
  <si>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</si>
  <si>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</si>
  <si>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</si>
  <si>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</si>
  <si>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</si>
  <si>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</si>
  <si>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</si>
  <si>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</si>
  <si>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</si>
  <si>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</si>
  <si>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</si>
  <si>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</si>
  <si>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</si>
  <si>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</si>
  <si>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</si>
  <si>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</si>
  <si>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</si>
  <si>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</si>
  <si>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</si>
  <si>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</si>
  <si>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</si>
  <si>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</si>
  <si>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</si>
  <si>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</si>
  <si>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</si>
  <si>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</si>
  <si>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</si>
  <si>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</si>
  <si>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</si>
  <si>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</si>
  <si>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</si>
  <si>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</si>
  <si>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</si>
  <si>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</si>
  <si>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</si>
  <si>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</si>
  <si>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</si>
  <si>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</si>
  <si>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</si>
  <si>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</si>
  <si>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</si>
  <si>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</si>
  <si>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</si>
  <si>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</si>
  <si>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</si>
  <si>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</si>
  <si>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</si>
  <si>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</si>
  <si>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</si>
  <si>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</si>
  <si>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</si>
  <si>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</si>
  <si>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</si>
  <si>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</si>
  <si>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</si>
  <si>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</si>
  <si>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</si>
  <si>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</si>
  <si>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</si>
  <si>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</si>
  <si>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</si>
  <si>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</si>
  <si>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</si>
  <si>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</si>
  <si>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</si>
  <si>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</si>
  <si>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</si>
  <si>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</si>
  <si>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</si>
  <si>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</si>
  <si>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</si>
  <si>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</si>
  <si>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</si>
  <si>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</si>
  <si>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</si>
  <si>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</si>
  <si>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</si>
  <si>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</si>
  <si>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</si>
  <si>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</si>
  <si>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</si>
  <si>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</si>
  <si>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</si>
  <si>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</si>
  <si>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</si>
  <si>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</si>
  <si>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</si>
  <si>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</si>
  <si>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</si>
  <si>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</si>
  <si>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</si>
  <si>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</si>
  <si>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</si>
  <si>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</si>
  <si>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</si>
  <si>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</si>
  <si>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</si>
  <si>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</si>
  <si>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</si>
  <si>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</si>
  <si>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</si>
  <si>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</si>
  <si>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</si>
  <si>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</si>
  <si>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</si>
  <si>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</si>
  <si>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</si>
  <si>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</si>
  <si>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</si>
  <si>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</si>
  <si>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</si>
  <si>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</si>
  <si>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</si>
  <si>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</si>
  <si>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</si>
  <si>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</si>
  <si>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</si>
  <si>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</si>
  <si>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</si>
  <si>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</si>
  <si>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</si>
  <si>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</si>
  <si>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</si>
  <si>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</si>
  <si>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</si>
  <si>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</si>
  <si>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</si>
  <si>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</si>
  <si>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</si>
  <si>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</si>
  <si>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</si>
  <si>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</si>
  <si>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</si>
  <si>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</si>
  <si>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</si>
  <si>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</si>
  <si>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</si>
  <si>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</si>
  <si>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</si>
  <si>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</si>
  <si>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</si>
  <si>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</si>
  <si>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</si>
  <si>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</si>
  <si>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</si>
  <si>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</si>
  <si>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</si>
  <si>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</si>
  <si>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</si>
  <si>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</si>
  <si>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</si>
  <si>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</si>
  <si>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</si>
  <si>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</si>
  <si>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</si>
  <si>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</si>
  <si>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</si>
  <si>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</si>
  <si>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</si>
  <si>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</si>
  <si>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</si>
  <si>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</si>
  <si>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</si>
  <si>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</si>
  <si>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</si>
  <si>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</si>
  <si>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</si>
  <si>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</si>
  <si>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</si>
  <si>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</si>
  <si>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</si>
  <si>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</si>
  <si>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</si>
  <si>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</si>
  <si>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</si>
  <si>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</si>
  <si>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</si>
  <si>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</si>
  <si>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</si>
  <si>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</si>
  <si>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</si>
  <si>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</si>
  <si>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</si>
  <si>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</si>
  <si>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</si>
  <si>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</si>
  <si>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</si>
  <si>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</si>
  <si>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</si>
  <si>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</si>
  <si>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</si>
  <si>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</si>
  <si>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</si>
  <si>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</si>
  <si>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</si>
  <si>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</si>
  <si>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</si>
  <si>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</si>
  <si>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</si>
  <si>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</si>
  <si>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</si>
  <si>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</si>
  <si>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</si>
  <si>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</si>
  <si>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</si>
  <si>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</si>
  <si>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</si>
  <si>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</si>
  <si>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</si>
  <si>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</si>
  <si>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</si>
  <si>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</si>
  <si>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</si>
  <si>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</si>
  <si>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</si>
  <si>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</si>
  <si>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</si>
  <si>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</si>
  <si>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</si>
  <si>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</si>
  <si>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</si>
  <si>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</si>
  <si>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</si>
  <si>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</si>
  <si>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</si>
  <si>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</si>
  <si>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</si>
  <si>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</si>
  <si>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</si>
  <si>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</si>
  <si>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</si>
  <si>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</si>
  <si>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</si>
  <si>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</si>
  <si>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</si>
  <si>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</si>
  <si>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</si>
  <si>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</si>
  <si>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</si>
  <si>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</si>
  <si>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</si>
  <si>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</si>
  <si>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</si>
  <si>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</si>
  <si>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</si>
  <si>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</si>
  <si>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</si>
  <si>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</si>
  <si>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</si>
  <si>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</si>
  <si>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</si>
  <si>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</si>
  <si>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</si>
  <si>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</si>
  <si>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</si>
  <si>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</si>
  <si>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</si>
  <si>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</si>
  <si>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</si>
  <si>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</si>
  <si>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</si>
  <si>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</si>
  <si>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</si>
  <si>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</si>
  <si>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</si>
  <si>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</si>
  <si>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</si>
  <si>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</si>
  <si>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</si>
  <si>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</si>
  <si>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</si>
  <si>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</si>
  <si>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</si>
  <si>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</si>
  <si>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</si>
  <si>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</si>
  <si>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</si>
  <si>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</si>
  <si>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</si>
  <si>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</si>
  <si>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</si>
  <si>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</si>
  <si>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</si>
  <si>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</si>
  <si>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</si>
  <si>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</si>
  <si>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</si>
  <si>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</si>
  <si>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</si>
  <si>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</si>
  <si>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</si>
  <si>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</si>
  <si>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</si>
  <si>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</si>
  <si>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</si>
  <si>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</si>
  <si>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</si>
  <si>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</si>
  <si>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</si>
  <si>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</si>
  <si>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</si>
  <si>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</si>
  <si>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</si>
  <si>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</si>
  <si>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</si>
  <si>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</si>
  <si>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</si>
  <si>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</si>
  <si>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</si>
  <si>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</si>
  <si>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</si>
  <si>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</si>
  <si>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</si>
  <si>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</si>
  <si>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</si>
  <si>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</si>
  <si>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</si>
  <si>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</si>
  <si>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</si>
  <si>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</si>
  <si>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</si>
  <si>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</si>
  <si>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</si>
  <si>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</si>
  <si>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</si>
  <si>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</si>
  <si>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</si>
  <si>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</si>
  <si>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</si>
  <si>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</si>
  <si>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</si>
  <si>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</si>
  <si>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</si>
  <si>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</si>
  <si>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</si>
  <si>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</si>
  <si>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</si>
  <si>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</si>
  <si>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</si>
  <si>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</si>
  <si>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</si>
  <si>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</si>
  <si>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</si>
  <si>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</si>
  <si>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</si>
  <si>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</si>
  <si>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</si>
  <si>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</si>
  <si>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</si>
  <si>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</si>
  <si>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</si>
  <si>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</si>
  <si>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</si>
  <si>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</si>
  <si>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</si>
  <si>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</si>
  <si>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</si>
  <si>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</si>
  <si>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</si>
  <si>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</si>
  <si>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</si>
  <si>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</si>
  <si>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</si>
  <si>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</si>
  <si>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</si>
  <si>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</si>
  <si>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</si>
  <si>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</si>
  <si>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</si>
  <si>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</si>
  <si>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</si>
  <si>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</si>
  <si>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</si>
  <si>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</si>
  <si>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</si>
  <si>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</si>
  <si>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</si>
  <si>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</si>
  <si>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</si>
  <si>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</si>
  <si>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</si>
  <si>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</si>
  <si>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</si>
  <si>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</si>
  <si>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</si>
  <si>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</si>
  <si>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</si>
  <si>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</si>
  <si>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</si>
  <si>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</si>
  <si>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</si>
  <si>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</si>
  <si>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</si>
  <si>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</si>
  <si>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</si>
  <si>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</si>
  <si>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</si>
  <si>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</si>
  <si>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</si>
  <si>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</si>
  <si>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</si>
  <si>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</si>
  <si>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</si>
  <si>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</si>
  <si>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</si>
  <si>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</si>
  <si>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</si>
  <si>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</si>
  <si>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</si>
  <si>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</si>
  <si>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</si>
  <si>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</si>
  <si>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</si>
  <si>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</si>
  <si>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</si>
  <si>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</si>
  <si>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</si>
  <si>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</si>
  <si>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</si>
  <si>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</si>
  <si>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</si>
  <si>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</si>
  <si>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</si>
  <si>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</si>
  <si>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</si>
  <si>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</si>
  <si>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</si>
  <si>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</si>
  <si>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</si>
  <si>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</si>
  <si>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</si>
  <si>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</si>
  <si>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</si>
  <si>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</si>
  <si>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</si>
  <si>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</si>
  <si>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</si>
  <si>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</si>
  <si>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</si>
  <si>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</si>
  <si>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</si>
  <si>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</si>
  <si>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</si>
  <si>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</si>
  <si>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</si>
  <si>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</si>
  <si>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</si>
  <si>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</si>
  <si>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</si>
  <si>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</si>
  <si>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</si>
  <si>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</si>
  <si>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</si>
  <si>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</si>
  <si>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</si>
  <si>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</si>
  <si>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</si>
  <si>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</si>
  <si>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</si>
  <si>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</si>
  <si>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</si>
  <si>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</si>
  <si>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</si>
  <si>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</si>
  <si>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</si>
  <si>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</si>
  <si>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</si>
  <si>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</si>
  <si>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</si>
  <si>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</si>
  <si>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</si>
  <si>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</si>
  <si>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</si>
  <si>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</si>
  <si>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</si>
  <si>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</si>
  <si>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</si>
  <si>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</si>
  <si>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</si>
  <si>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</si>
  <si>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</si>
  <si>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</si>
  <si>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</si>
  <si>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</si>
  <si>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</si>
  <si>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</si>
  <si>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</si>
  <si>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</si>
  <si>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</si>
  <si>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</si>
  <si>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</si>
  <si>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</si>
  <si>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</si>
  <si>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</si>
  <si>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</si>
  <si>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</si>
  <si>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</si>
  <si>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</si>
  <si>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</si>
  <si>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</si>
  <si>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</si>
  <si>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</si>
  <si>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</si>
  <si>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</si>
  <si>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</si>
  <si>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</si>
  <si>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</si>
  <si>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</si>
  <si>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</si>
  <si>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</si>
  <si>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</si>
  <si>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</si>
  <si>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</si>
  <si>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</si>
  <si>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</si>
  <si>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</si>
  <si>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</si>
  <si>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</si>
  <si>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</si>
  <si>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</si>
  <si>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</si>
  <si>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</si>
  <si>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</si>
  <si>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</si>
  <si>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</si>
  <si>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</si>
  <si>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</si>
  <si>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</si>
  <si>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</si>
  <si>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</si>
  <si>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</si>
  <si>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</si>
  <si>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</si>
  <si>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</si>
  <si>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</si>
  <si>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</si>
  <si>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</si>
  <si>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</si>
  <si>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</si>
  <si>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</si>
  <si>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</si>
  <si>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</si>
  <si>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</si>
  <si>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</si>
  <si>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</si>
  <si>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</si>
  <si>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</si>
  <si>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</si>
  <si>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</si>
  <si>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</si>
  <si>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</si>
  <si>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</si>
  <si>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</si>
  <si>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</si>
  <si>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</si>
  <si>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</si>
  <si>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</si>
  <si>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</si>
  <si>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</si>
  <si>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</si>
  <si>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</si>
  <si>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</si>
  <si>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</si>
  <si>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</si>
  <si>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</si>
  <si>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</si>
  <si>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</si>
  <si>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</si>
  <si>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</si>
  <si>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</si>
  <si>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</si>
  <si>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</si>
  <si>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</si>
  <si>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</si>
  <si>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</si>
  <si>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</si>
  <si>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</si>
  <si>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</si>
  <si>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</si>
  <si>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</si>
  <si>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</si>
  <si>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</si>
  <si>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</si>
  <si>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</si>
  <si>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</si>
  <si>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</si>
  <si>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</si>
  <si>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</si>
  <si>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</si>
  <si>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</si>
  <si>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</si>
  <si>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</si>
  <si>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</si>
  <si>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</si>
  <si>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</si>
  <si>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</si>
  <si>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</si>
  <si>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</si>
  <si>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</si>
  <si>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</si>
  <si>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</si>
  <si>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</si>
  <si>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</si>
  <si>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</si>
  <si>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</si>
  <si>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</si>
  <si>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</si>
  <si>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</si>
  <si>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</si>
  <si>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</si>
  <si>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</si>
  <si>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</si>
  <si>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</si>
  <si>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</si>
  <si>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</si>
  <si>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</si>
  <si>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</si>
  <si>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</si>
  <si>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</si>
  <si>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</si>
  <si>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</si>
  <si>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</si>
  <si>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</si>
  <si>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</si>
  <si>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</si>
  <si>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</si>
  <si>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</si>
  <si>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</si>
  <si>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</si>
  <si>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</si>
  <si>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</si>
  <si>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</si>
  <si>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</si>
  <si>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</si>
  <si>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</si>
  <si>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</si>
  <si>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</si>
  <si>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</si>
  <si>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</si>
  <si>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</si>
  <si>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</si>
  <si>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</si>
  <si>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</si>
  <si>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</si>
  <si>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</si>
  <si>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</si>
  <si>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</si>
  <si>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</si>
  <si>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</si>
  <si>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</si>
  <si>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</si>
  <si>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</si>
  <si>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</si>
  <si>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</si>
  <si>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</si>
  <si>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</si>
  <si>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</si>
  <si>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</si>
  <si>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</si>
  <si>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</si>
  <si>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</si>
  <si>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</si>
  <si>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</si>
  <si>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</si>
  <si>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</si>
  <si>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</si>
  <si>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</si>
  <si>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</si>
  <si>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</si>
  <si>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</si>
  <si>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</si>
  <si>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</si>
  <si>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</si>
  <si>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</si>
  <si>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</si>
  <si>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</si>
  <si>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</si>
  <si>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</si>
  <si>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</si>
  <si>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</si>
  <si>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</si>
  <si>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</si>
  <si>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</si>
  <si>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</si>
  <si>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</si>
  <si>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</si>
  <si>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</si>
  <si>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</si>
  <si>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</si>
  <si>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</si>
  <si>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</si>
  <si>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</si>
  <si>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</si>
  <si>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</si>
  <si>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</si>
  <si>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</si>
  <si>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</si>
  <si>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</si>
  <si>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</si>
  <si>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</si>
  <si>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</si>
  <si>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</si>
  <si>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</si>
  <si>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</si>
  <si>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</si>
  <si>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</si>
  <si>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</si>
  <si>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</si>
  <si>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</si>
  <si>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</si>
  <si>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</si>
  <si>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</si>
  <si>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</si>
  <si>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</si>
  <si>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</si>
  <si>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</si>
  <si>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</si>
  <si>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</si>
  <si>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</si>
  <si>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</si>
  <si>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</si>
  <si>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</si>
  <si>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</si>
  <si>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</si>
  <si>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</si>
  <si>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</si>
  <si>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</si>
  <si>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</si>
  <si>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</si>
  <si>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</si>
  <si>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</si>
  <si>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</si>
  <si>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</si>
  <si>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</si>
  <si>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</si>
  <si>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</si>
  <si>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</si>
  <si>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</si>
  <si>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</si>
  <si>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</si>
  <si>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</si>
  <si>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</si>
  <si>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</si>
  <si>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</si>
  <si>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</si>
  <si>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</si>
  <si>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</si>
  <si>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</si>
  <si>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</si>
  <si>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</si>
  <si>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</si>
  <si>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</si>
  <si>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</si>
  <si>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</si>
  <si>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</si>
  <si>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</si>
  <si>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</si>
  <si>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</si>
  <si>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</si>
  <si>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</si>
  <si>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</si>
  <si>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</si>
  <si>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</si>
  <si>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</si>
  <si>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</si>
  <si>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</si>
  <si>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</si>
  <si>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</si>
  <si>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</si>
  <si>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</si>
  <si>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</si>
  <si>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</si>
  <si>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</si>
  <si>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</si>
  <si>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</si>
  <si>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</si>
  <si>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</si>
  <si>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</si>
  <si>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</si>
  <si>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</si>
  <si>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</si>
  <si>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</si>
  <si>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</si>
  <si>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</si>
  <si>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</si>
  <si>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</si>
  <si>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</si>
  <si>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</si>
  <si>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</si>
  <si>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</si>
  <si>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</si>
  <si>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</si>
  <si>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</si>
  <si>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</si>
  <si>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</si>
  <si>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</si>
  <si>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</si>
  <si>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</si>
  <si>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</si>
  <si>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</si>
  <si>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</si>
  <si>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</si>
  <si>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</si>
  <si>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</si>
  <si>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</si>
  <si>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</si>
  <si>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</si>
  <si>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</si>
  <si>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</si>
  <si>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</si>
  <si>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</si>
  <si>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</si>
  <si>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</si>
  <si>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</si>
  <si>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</si>
  <si>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</si>
  <si>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</si>
  <si>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</si>
  <si>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</si>
  <si>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</si>
  <si>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</si>
  <si>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</si>
  <si>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</si>
  <si>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</si>
  <si>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</si>
  <si>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</si>
  <si>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</si>
  <si>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</si>
  <si>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</si>
  <si>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</si>
  <si>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</si>
  <si>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</si>
  <si>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</si>
  <si>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</si>
  <si>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</si>
  <si>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</si>
  <si>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</si>
  <si>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</si>
  <si>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</si>
  <si>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</si>
  <si>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</si>
  <si>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</si>
  <si>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</si>
  <si>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</si>
  <si>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</si>
  <si>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</si>
  <si>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</si>
  <si>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</si>
  <si>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</si>
  <si>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</si>
  <si>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</si>
  <si>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</si>
  <si>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</si>
  <si>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</si>
  <si>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</si>
  <si>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</si>
  <si>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</si>
  <si>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</si>
  <si>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</si>
  <si>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</si>
  <si>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</si>
  <si>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</si>
  <si>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</si>
  <si>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</si>
  <si>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</si>
  <si>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</si>
  <si>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</si>
  <si>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</si>
  <si>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</si>
  <si>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</si>
  <si>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</si>
  <si>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</si>
  <si>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</si>
  <si>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</si>
  <si>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</si>
  <si>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</si>
  <si>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</si>
  <si>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</si>
  <si>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</si>
  <si>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</si>
  <si>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</si>
  <si>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</si>
  <si>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</si>
  <si>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</si>
  <si>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</si>
  <si>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</si>
  <si>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</si>
  <si>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</si>
  <si>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</si>
  <si>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</si>
  <si>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</si>
  <si>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</si>
  <si>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</si>
  <si>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</si>
  <si>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</si>
  <si>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</si>
  <si>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</si>
  <si>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</si>
  <si>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</si>
  <si>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</si>
  <si>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</si>
  <si>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</si>
  <si>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</si>
  <si>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</si>
  <si>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</si>
  <si>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</si>
  <si>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</si>
  <si>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</si>
  <si>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</si>
  <si>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</si>
  <si>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</si>
  <si>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</si>
  <si>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</si>
  <si>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</si>
  <si>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</si>
  <si>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</si>
  <si>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</si>
  <si>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</si>
  <si>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</si>
  <si>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</si>
  <si>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</si>
  <si>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</si>
  <si>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</si>
  <si>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</si>
  <si>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</si>
  <si>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</si>
  <si>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</si>
  <si>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</si>
  <si>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</si>
  <si>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</si>
  <si>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</si>
  <si>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</si>
  <si>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</si>
  <si>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</si>
  <si>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</si>
  <si>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</si>
  <si>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</si>
  <si>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</si>
  <si>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</si>
  <si>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</si>
  <si>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</si>
  <si>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</si>
  <si>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</si>
  <si>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</si>
  <si>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</si>
  <si>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</si>
  <si>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</si>
  <si>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</si>
  <si>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</si>
  <si>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</si>
  <si>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</si>
  <si>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</si>
  <si>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</si>
  <si>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</si>
  <si>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</si>
  <si>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</si>
  <si>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</si>
  <si>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</si>
  <si>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</si>
  <si>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</si>
  <si>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</si>
  <si>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</si>
  <si>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</si>
  <si>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</si>
  <si>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</si>
  <si>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</si>
  <si>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</si>
  <si>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</si>
  <si>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</si>
  <si>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</si>
  <si>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</si>
  <si>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</si>
  <si>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</si>
  <si>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</si>
  <si>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</si>
  <si>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</si>
  <si>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</si>
  <si>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</si>
  <si>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</si>
  <si>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</si>
  <si>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</si>
  <si>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</si>
  <si>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</si>
  <si>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</si>
  <si>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</si>
  <si>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</si>
  <si>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</si>
  <si>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</si>
  <si>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</si>
  <si>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</si>
  <si>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</si>
  <si>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</si>
  <si>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</si>
  <si>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</si>
  <si>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</si>
  <si>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</si>
  <si>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</si>
  <si>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</si>
  <si>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</si>
  <si>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</si>
  <si>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</si>
  <si>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</si>
  <si>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</si>
  <si>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</si>
  <si>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</si>
  <si>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</si>
  <si>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</si>
  <si>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</si>
  <si>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</si>
  <si>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</si>
  <si>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</si>
  <si>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</si>
  <si>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</si>
  <si>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</si>
  <si>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</si>
  <si>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</si>
  <si>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</si>
  <si>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</si>
  <si>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</si>
  <si>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</si>
  <si>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</si>
  <si>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</si>
  <si>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</si>
  <si>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</si>
  <si>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</si>
  <si>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</si>
  <si>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</si>
  <si>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</si>
  <si>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</si>
  <si>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</si>
  <si>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</si>
  <si>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</si>
  <si>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</si>
  <si>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</si>
  <si>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</si>
  <si>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</si>
  <si>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</si>
  <si>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</si>
  <si>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</si>
  <si>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</si>
  <si>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</si>
  <si>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</si>
  <si>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</si>
  <si>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</si>
  <si>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</si>
  <si>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</si>
  <si>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</si>
  <si>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</si>
  <si>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</si>
  <si>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</si>
  <si>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</si>
  <si>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</si>
  <si>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</si>
  <si>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</si>
  <si>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</si>
  <si>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</si>
  <si>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</si>
  <si>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</si>
  <si>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</si>
  <si>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</si>
  <si>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</si>
  <si>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</si>
  <si>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</si>
  <si>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</si>
  <si>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</si>
  <si>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</si>
  <si>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</si>
  <si>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</si>
  <si>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</si>
  <si>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</si>
  <si>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</si>
  <si>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</si>
  <si>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</si>
  <si>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</si>
  <si>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</si>
  <si>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</si>
  <si>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</si>
  <si>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</si>
  <si>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</si>
  <si>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</si>
  <si>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</si>
  <si>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</si>
  <si>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</si>
  <si>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</si>
  <si>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</si>
  <si>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</si>
  <si>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</si>
  <si>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</si>
  <si>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</si>
  <si>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</si>
  <si>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</si>
  <si>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</si>
  <si>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</si>
  <si>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</si>
  <si>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</si>
  <si>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</si>
  <si>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</si>
  <si>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</si>
  <si>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</si>
  <si>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</si>
  <si>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</si>
  <si>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</si>
  <si>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</si>
  <si>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</si>
  <si>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</si>
  <si>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</si>
  <si>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</si>
  <si>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</si>
  <si>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</si>
  <si>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</si>
  <si>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</si>
  <si>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</si>
  <si>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</si>
  <si>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</si>
  <si>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</si>
  <si>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</si>
  <si>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</si>
  <si>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</si>
  <si>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</si>
  <si>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</si>
  <si>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</si>
  <si>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</si>
  <si>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</si>
  <si>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</si>
  <si>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</si>
  <si>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</si>
  <si>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</si>
  <si>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</si>
  <si>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</si>
  <si>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</si>
  <si>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</si>
  <si>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</si>
  <si>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</si>
  <si>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</si>
  <si>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</si>
  <si>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</si>
  <si>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</si>
  <si>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</si>
  <si>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</si>
  <si>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</si>
  <si>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</si>
  <si>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</si>
  <si>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</si>
  <si>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</si>
  <si>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</si>
  <si>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</si>
  <si>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</si>
  <si>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</si>
  <si>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</si>
  <si>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</si>
  <si>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</si>
  <si>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</si>
  <si>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</si>
  <si>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</si>
  <si>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</si>
  <si>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</si>
  <si>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</si>
  <si>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</si>
  <si>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</si>
  <si>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</si>
  <si>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</si>
  <si>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</si>
  <si>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</si>
  <si>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</si>
  <si>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</si>
  <si>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</si>
  <si>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</si>
  <si>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</si>
  <si>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</si>
  <si>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</si>
  <si>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</si>
  <si>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</si>
  <si>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</si>
  <si>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</si>
  <si>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</si>
  <si>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</si>
  <si>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</si>
  <si>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</si>
  <si>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</si>
  <si>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</si>
  <si>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</si>
  <si>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</si>
  <si>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</si>
  <si>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</si>
  <si>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</si>
  <si>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</si>
  <si>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</si>
  <si>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</si>
  <si>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</si>
  <si>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</si>
  <si>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</si>
  <si>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</si>
  <si>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</si>
  <si>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</si>
  <si>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</si>
  <si>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</si>
  <si>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</si>
  <si>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</si>
  <si>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</si>
  <si>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</si>
  <si>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</si>
  <si>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</si>
  <si>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</si>
  <si>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</si>
  <si>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</si>
  <si>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</si>
  <si>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</si>
  <si>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</si>
  <si>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</si>
  <si>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</si>
  <si>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</si>
  <si>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</si>
  <si>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</si>
  <si>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</si>
  <si>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</si>
  <si>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</si>
  <si>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</si>
  <si>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</si>
  <si>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</si>
  <si>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</si>
  <si>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</si>
  <si>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</si>
  <si>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</si>
  <si>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</si>
  <si>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</si>
  <si>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</si>
  <si>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</si>
  <si>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</si>
  <si>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</si>
  <si>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</si>
  <si>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</si>
  <si>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</si>
  <si>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</si>
  <si>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</si>
  <si>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</si>
  <si>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</si>
  <si>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</si>
  <si>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</si>
  <si>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</si>
  <si>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</si>
  <si>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</si>
  <si>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</si>
  <si>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</si>
  <si>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</si>
  <si>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</si>
  <si>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</si>
  <si>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</si>
  <si>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</si>
  <si>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</si>
  <si>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</si>
  <si>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</si>
  <si>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</si>
  <si>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</si>
  <si>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</si>
  <si>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</si>
  <si>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</si>
  <si>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</si>
  <si>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</si>
  <si>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</si>
  <si>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</si>
  <si>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</si>
  <si>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</si>
  <si>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</si>
  <si>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</si>
  <si>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</si>
  <si>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</si>
  <si>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</si>
  <si>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</si>
  <si>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</si>
  <si>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</si>
  <si>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</si>
  <si>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</si>
  <si>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</si>
  <si>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</si>
  <si>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</si>
  <si>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</si>
  <si>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</si>
  <si>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</si>
  <si>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</si>
  <si>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</si>
  <si>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</si>
  <si>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</si>
  <si>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</si>
  <si>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</si>
  <si>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</si>
  <si>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</si>
  <si>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</si>
  <si>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</si>
  <si>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</si>
  <si>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</si>
  <si>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</si>
  <si>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</si>
  <si>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</si>
  <si>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</si>
  <si>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</si>
  <si>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</si>
  <si>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</si>
  <si>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</si>
  <si>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</si>
  <si>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</si>
  <si>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</si>
  <si>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</si>
  <si>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</si>
  <si>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</si>
  <si>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</si>
  <si>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</si>
  <si>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</si>
  <si>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</si>
  <si>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</si>
  <si>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</si>
  <si>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</si>
  <si>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</si>
  <si>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</si>
  <si>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</si>
  <si>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</si>
  <si>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</si>
  <si>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</si>
  <si>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</si>
  <si>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</si>
  <si>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</si>
  <si>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</si>
  <si>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</si>
  <si>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</si>
  <si>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</si>
  <si>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</si>
  <si>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</si>
  <si>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</si>
  <si>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</si>
  <si>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</si>
  <si>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</si>
  <si>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</si>
  <si>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</si>
  <si>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</si>
  <si>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</si>
  <si>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</si>
  <si>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</si>
  <si>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</si>
  <si>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</si>
  <si>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</si>
  <si>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</si>
  <si>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</si>
  <si>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</si>
  <si>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</si>
  <si>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</si>
  <si>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</si>
  <si>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</si>
  <si>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</si>
  <si>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</si>
  <si>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</si>
  <si>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</si>
  <si>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</si>
  <si>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</si>
  <si>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</si>
  <si>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</si>
  <si>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</si>
  <si>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</si>
  <si>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</si>
  <si>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</si>
  <si>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</si>
  <si>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</si>
  <si>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</si>
  <si>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</si>
  <si>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</si>
  <si>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</si>
  <si>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</si>
  <si>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</si>
  <si>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</si>
  <si>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</si>
  <si>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</si>
  <si>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</si>
  <si>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</si>
  <si>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</si>
  <si>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</si>
  <si>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</si>
  <si>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</si>
  <si>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</si>
  <si>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</si>
  <si>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</si>
  <si>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</si>
  <si>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</si>
  <si>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</si>
  <si>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</si>
  <si>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</si>
  <si>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</si>
  <si>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</si>
  <si>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</si>
  <si>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</si>
  <si>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</si>
  <si>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</si>
  <si>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</si>
  <si>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</si>
  <si>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</si>
  <si>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</si>
  <si>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</si>
  <si>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</si>
  <si>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</si>
  <si>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</si>
  <si>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</si>
  <si>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</si>
  <si>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</si>
  <si>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</si>
  <si>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</si>
  <si>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</si>
  <si>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</si>
  <si>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</si>
  <si>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</si>
  <si>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</si>
  <si>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</si>
  <si>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</si>
  <si>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</si>
  <si>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</si>
  <si>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</si>
  <si>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</si>
  <si>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</si>
  <si>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</si>
  <si>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</si>
  <si>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</si>
  <si>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</si>
  <si>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</si>
  <si>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</si>
  <si>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</si>
  <si>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</si>
  <si>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</si>
  <si>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</si>
  <si>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</si>
  <si>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</si>
  <si>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</si>
  <si>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</si>
  <si>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</si>
  <si>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</si>
  <si>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</si>
  <si>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</si>
  <si>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</si>
  <si>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</si>
  <si>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</si>
  <si>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</si>
  <si>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</si>
  <si>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</si>
  <si>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</si>
  <si>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</si>
  <si>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</si>
  <si>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</si>
  <si>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</si>
  <si>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</si>
  <si>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</si>
  <si>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</si>
  <si>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</si>
  <si>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</si>
  <si>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</si>
  <si>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</si>
  <si>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</si>
  <si>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</si>
  <si>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</si>
  <si>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</si>
  <si>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</si>
  <si>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</si>
  <si>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</si>
  <si>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</si>
  <si>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</si>
  <si>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</si>
  <si>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</si>
  <si>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</si>
  <si>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</si>
  <si>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</si>
  <si>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</si>
  <si>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</si>
  <si>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</si>
  <si>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</si>
  <si>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</si>
  <si>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</si>
  <si>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</si>
  <si>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</si>
  <si>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</si>
  <si>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</si>
  <si>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</si>
  <si>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</si>
  <si>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</si>
  <si>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</si>
  <si>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</si>
  <si>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</si>
  <si>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</si>
  <si>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</si>
  <si>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</si>
  <si>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</si>
  <si>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</si>
  <si>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</si>
  <si>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</si>
  <si>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</si>
  <si>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</si>
  <si>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</si>
  <si>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</si>
  <si>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</si>
  <si>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</si>
  <si>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</si>
  <si>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</si>
  <si>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</si>
  <si>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</si>
  <si>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</si>
  <si>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</si>
  <si>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</si>
  <si>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</si>
  <si>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</si>
  <si>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</si>
  <si>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</si>
  <si>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</si>
  <si>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</si>
  <si>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</si>
  <si>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</si>
  <si>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</si>
  <si>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</si>
  <si>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</si>
  <si>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</si>
  <si>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</si>
  <si>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</si>
  <si>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</si>
  <si>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</si>
  <si>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</si>
  <si>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</si>
  <si>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</si>
  <si>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</si>
  <si>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</si>
  <si>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</si>
  <si>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</si>
  <si>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</si>
  <si>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</si>
  <si>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</si>
  <si>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</si>
  <si>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</si>
  <si>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</si>
  <si>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</si>
  <si>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</si>
  <si>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</si>
  <si>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</si>
  <si>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</si>
  <si>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</si>
  <si>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</si>
  <si>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</si>
  <si>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</si>
  <si>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</si>
  <si>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</si>
  <si>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</si>
  <si>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</si>
  <si>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</si>
  <si>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</si>
  <si>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</si>
  <si>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</si>
  <si>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</si>
  <si>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</si>
  <si>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</si>
  <si>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</si>
  <si>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</si>
  <si>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</si>
  <si>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</si>
  <si>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</si>
  <si>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</si>
  <si>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</si>
  <si>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</si>
  <si>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</si>
  <si>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</si>
  <si>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</si>
  <si>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</si>
  <si>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</si>
  <si>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</si>
  <si>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</si>
  <si>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</si>
  <si>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</si>
  <si>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</si>
  <si>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</si>
  <si>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</si>
  <si>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</si>
  <si>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</si>
  <si>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</si>
  <si>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</si>
  <si>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</si>
  <si>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</si>
  <si>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</si>
  <si>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</si>
  <si>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</si>
  <si>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</si>
  <si>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</si>
  <si>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</si>
  <si>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</si>
  <si>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</si>
  <si>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</si>
  <si>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</si>
  <si>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</si>
  <si>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</si>
  <si>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</si>
  <si>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</si>
  <si>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</si>
  <si>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</si>
  <si>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</si>
  <si>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</si>
  <si>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</si>
  <si>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</si>
  <si>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</si>
  <si>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</si>
  <si>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</si>
  <si>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</si>
  <si>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</si>
  <si>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</si>
  <si>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</si>
  <si>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</si>
  <si>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</si>
  <si>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</si>
  <si>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</si>
  <si>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</si>
  <si>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</si>
  <si>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</si>
  <si>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</si>
  <si>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</si>
  <si>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</si>
  <si>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</si>
  <si>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</si>
  <si>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</si>
  <si>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</si>
  <si>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</si>
  <si>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</si>
  <si>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</si>
  <si>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</si>
  <si>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</si>
  <si>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</si>
  <si>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</si>
  <si>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</si>
  <si>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</si>
  <si>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</si>
  <si>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</si>
  <si>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</si>
  <si>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</si>
  <si>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</si>
  <si>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</si>
  <si>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</si>
  <si>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</si>
  <si>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</si>
  <si>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</si>
  <si>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</si>
  <si>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</si>
  <si>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</si>
  <si>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</si>
  <si>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</si>
  <si>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</si>
  <si>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</si>
  <si>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</si>
  <si>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</si>
  <si>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</si>
  <si>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</si>
  <si>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</si>
  <si>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</si>
  <si>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</si>
  <si>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</si>
  <si>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</si>
  <si>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</si>
  <si>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</si>
  <si>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</si>
  <si>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</si>
  <si>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</si>
  <si>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</si>
  <si>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</si>
  <si>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</si>
  <si>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</si>
  <si>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</si>
  <si>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</si>
  <si>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</si>
  <si>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</si>
  <si>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</si>
  <si>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</si>
  <si>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</si>
  <si>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</si>
  <si>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</si>
  <si>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</si>
  <si>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</si>
  <si>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</si>
  <si>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</si>
  <si>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</si>
  <si>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</si>
  <si>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</si>
  <si>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</si>
  <si>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</si>
  <si>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</si>
  <si>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</si>
  <si>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</si>
  <si>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</si>
  <si>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</si>
  <si>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</si>
  <si>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</si>
  <si>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</si>
  <si>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</si>
  <si>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</si>
  <si>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</si>
  <si>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</si>
  <si>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</si>
  <si>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</si>
  <si>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</si>
  <si>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</si>
  <si>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</si>
  <si>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</si>
  <si>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</si>
  <si>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</si>
  <si>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</si>
  <si>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</si>
  <si>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</si>
  <si>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</si>
  <si>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</si>
  <si>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</si>
  <si>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</si>
  <si>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</si>
  <si>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</si>
  <si>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</si>
  <si>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</si>
  <si>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</si>
  <si>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</si>
  <si>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</si>
  <si>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</si>
  <si>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</si>
  <si>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</si>
  <si>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</si>
  <si>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</si>
  <si>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</si>
  <si>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</si>
  <si>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</si>
  <si>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</si>
  <si>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</si>
  <si>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</si>
  <si>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</si>
  <si>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</si>
  <si>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</si>
  <si>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</si>
  <si>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</si>
  <si>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</si>
  <si>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</si>
  <si>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</si>
  <si>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</si>
  <si>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</si>
  <si>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</si>
  <si>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</si>
  <si>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</si>
  <si>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</si>
  <si>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</si>
  <si>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</si>
  <si>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</si>
  <si>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</si>
  <si>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</si>
  <si>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</si>
  <si>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</si>
  <si>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</si>
  <si>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</si>
  <si>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</si>
  <si>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</si>
  <si>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</si>
  <si>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</si>
  <si>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</si>
  <si>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</si>
  <si>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</si>
  <si>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</si>
  <si>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</si>
  <si>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</si>
  <si>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</si>
  <si>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</si>
  <si>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</si>
  <si>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</si>
  <si>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</si>
  <si>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</si>
  <si>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</si>
  <si>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</si>
  <si>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</si>
  <si>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</si>
  <si>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</si>
  <si>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</si>
  <si>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</si>
  <si>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</si>
  <si>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</si>
  <si>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</si>
  <si>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</si>
  <si>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</si>
  <si>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</si>
  <si>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</si>
  <si>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</si>
  <si>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</si>
  <si>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</si>
  <si>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</si>
  <si>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</si>
  <si>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</si>
  <si>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</si>
  <si>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</si>
  <si>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</si>
  <si>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</si>
  <si>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</si>
  <si>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</si>
  <si>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</si>
  <si>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</si>
  <si>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</si>
  <si>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</si>
  <si>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</si>
  <si>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</si>
  <si>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</si>
  <si>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</si>
  <si>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</si>
  <si>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</si>
  <si>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</si>
  <si>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</si>
  <si>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</si>
  <si>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</si>
  <si>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</si>
  <si>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</si>
  <si>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</si>
  <si>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</si>
  <si>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</si>
  <si>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</si>
  <si>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</si>
  <si>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</si>
  <si>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</si>
  <si>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</si>
  <si>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</si>
  <si>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</si>
  <si>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</si>
  <si>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</si>
  <si>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</si>
  <si>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</si>
  <si>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</si>
  <si>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</si>
  <si>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</si>
  <si>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</si>
  <si>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</si>
  <si>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</si>
  <si>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</si>
  <si>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</si>
  <si>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</si>
  <si>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</si>
  <si>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</si>
  <si>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</si>
  <si>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</si>
  <si>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</si>
  <si>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</si>
  <si>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</si>
  <si>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</si>
  <si>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</si>
  <si>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</si>
  <si>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</si>
  <si>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</si>
  <si>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</si>
  <si>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</si>
  <si>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</si>
  <si>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</si>
  <si>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</si>
  <si>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</si>
  <si>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</si>
  <si>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</si>
  <si>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</si>
  <si>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</si>
  <si>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</si>
  <si>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</si>
  <si>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</si>
  <si>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</si>
  <si>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</si>
  <si>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</si>
  <si>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</si>
  <si>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</si>
  <si>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</si>
  <si>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</si>
  <si>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</si>
  <si>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</si>
  <si>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</si>
  <si>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</si>
  <si>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</si>
  <si>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</si>
  <si>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</si>
  <si>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</si>
  <si>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</si>
  <si>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</si>
  <si>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</si>
  <si>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</si>
  <si>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</si>
  <si>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</si>
  <si>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</si>
  <si>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</si>
  <si>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</si>
  <si>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</si>
  <si>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</si>
  <si>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</si>
  <si>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</si>
  <si>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</si>
  <si>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</si>
  <si>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</si>
  <si>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</si>
  <si>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</si>
  <si>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</si>
  <si>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</si>
  <si>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</si>
  <si>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</si>
  <si>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</si>
  <si>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</si>
  <si>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</si>
  <si>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</si>
  <si>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</si>
  <si>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</si>
  <si>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</si>
  <si>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</si>
  <si>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</si>
  <si>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</si>
  <si>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</si>
  <si>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</si>
  <si>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</si>
  <si>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</si>
  <si>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</si>
  <si>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</si>
  <si>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</si>
  <si>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</si>
  <si>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</si>
  <si>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</si>
  <si>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</si>
  <si>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</si>
  <si>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</si>
  <si>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</si>
  <si>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</si>
  <si>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</si>
  <si>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</si>
  <si>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</si>
  <si>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</si>
  <si>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</si>
  <si>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</si>
  <si>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</si>
  <si>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</si>
  <si>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</si>
  <si>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</si>
  <si>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</si>
  <si>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</si>
  <si>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</si>
  <si>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</si>
  <si>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</si>
  <si>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</si>
  <si>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</si>
  <si>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</si>
  <si>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</si>
  <si>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</si>
  <si>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</si>
  <si>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</si>
  <si>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</si>
  <si>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</si>
  <si>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</si>
  <si>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</si>
  <si>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</si>
  <si>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</si>
  <si>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</si>
  <si>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</si>
  <si>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</si>
  <si>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</si>
  <si>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</si>
  <si>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</si>
  <si>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</si>
  <si>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</si>
  <si>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</si>
  <si>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</si>
  <si>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</si>
  <si>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</si>
  <si>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</si>
  <si>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</si>
  <si>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</si>
  <si>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</si>
  <si>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</si>
  <si>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</si>
  <si>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</si>
  <si>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</si>
  <si>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</si>
  <si>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</si>
  <si>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</si>
  <si>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</si>
  <si>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</si>
  <si>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</si>
  <si>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</si>
  <si>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</si>
  <si>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</si>
  <si>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</si>
  <si>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</si>
  <si>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</si>
  <si>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</si>
  <si>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</si>
  <si>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</si>
  <si>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</si>
  <si>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</si>
  <si>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</si>
  <si>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</si>
  <si>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</si>
  <si>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</si>
  <si>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</si>
  <si>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</si>
  <si>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</si>
  <si>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</si>
  <si>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</si>
  <si>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</si>
  <si>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</si>
  <si>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</si>
  <si>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</si>
  <si>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</si>
  <si>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</si>
  <si>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</si>
  <si>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</si>
  <si>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</si>
  <si>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</si>
  <si>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</si>
  <si>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</si>
  <si>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</si>
  <si>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</si>
  <si>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</si>
  <si>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</si>
  <si>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</si>
  <si>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</si>
  <si>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</si>
  <si>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</si>
  <si>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</si>
  <si>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</si>
  <si>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</si>
  <si>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</si>
  <si>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</si>
  <si>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</si>
  <si>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</si>
  <si>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</si>
  <si>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</si>
  <si>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</si>
  <si>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</si>
  <si>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</si>
  <si>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</si>
  <si>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</si>
  <si>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</si>
  <si>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</si>
  <si>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</si>
  <si>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</si>
  <si>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</si>
  <si>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</si>
  <si>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</si>
  <si>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</si>
  <si>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</si>
  <si>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</si>
  <si>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</si>
  <si>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</si>
  <si>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</si>
  <si>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</si>
  <si>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</si>
  <si>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</si>
  <si>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</si>
  <si>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</si>
  <si>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</si>
  <si>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</si>
  <si>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</si>
  <si>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</si>
  <si>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</si>
  <si>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</si>
  <si>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</si>
  <si>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</si>
  <si>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</si>
  <si>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</si>
  <si>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</si>
  <si>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</si>
  <si>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</si>
  <si>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</si>
  <si>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</si>
  <si>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</si>
  <si>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</si>
  <si>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</si>
  <si>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</si>
  <si>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</si>
  <si>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</si>
  <si>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</si>
  <si>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</si>
  <si>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</si>
  <si>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</si>
  <si>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</si>
  <si>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</si>
  <si>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</si>
  <si>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</si>
  <si>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</si>
  <si>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</si>
  <si>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</si>
  <si>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</si>
  <si>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</si>
  <si>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</si>
  <si>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</si>
  <si>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</si>
  <si>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</si>
  <si>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</si>
  <si>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</si>
  <si>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</si>
  <si>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</si>
  <si>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</si>
  <si>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</si>
  <si>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</si>
  <si>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</si>
  <si>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</si>
  <si>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</si>
  <si>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</si>
  <si>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</si>
  <si>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</si>
  <si>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</si>
  <si>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</si>
  <si>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</si>
  <si>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</si>
  <si>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</si>
  <si>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</si>
  <si>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</si>
  <si>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</si>
  <si>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</si>
  <si>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</si>
  <si>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</si>
  <si>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</si>
  <si>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</si>
  <si>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</si>
  <si>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</si>
  <si>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</si>
  <si>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</si>
  <si>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</si>
  <si>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</si>
  <si>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</si>
  <si>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</si>
  <si>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</si>
  <si>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</si>
  <si>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</si>
  <si>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</si>
  <si>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</si>
  <si>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</si>
  <si>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</si>
  <si>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</si>
  <si>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</si>
  <si>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</si>
  <si>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</si>
  <si>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</si>
  <si>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</si>
  <si>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</si>
  <si>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</si>
  <si>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</si>
  <si>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</si>
  <si>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</si>
  <si>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</si>
  <si>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</si>
  <si>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</si>
  <si>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</si>
  <si>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</si>
  <si>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</si>
  <si>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</si>
  <si>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</si>
  <si>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</si>
  <si>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</si>
  <si>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</si>
  <si>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</si>
  <si>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</si>
  <si>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</si>
  <si>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</si>
  <si>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</si>
  <si>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</si>
  <si>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</si>
  <si>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</si>
  <si>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</si>
  <si>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</si>
  <si>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</si>
  <si>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</si>
  <si>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</si>
  <si>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</si>
  <si>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</si>
  <si>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</si>
  <si>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</si>
  <si>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</si>
  <si>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</si>
  <si>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</si>
  <si>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</si>
  <si>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</si>
  <si>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</si>
  <si>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</si>
  <si>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</si>
  <si>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</si>
  <si>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</si>
  <si>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</si>
  <si>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</si>
  <si>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</si>
  <si>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</si>
  <si>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</si>
  <si>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</si>
  <si>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</si>
  <si>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</si>
  <si>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</si>
  <si>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</si>
  <si>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</si>
  <si>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</si>
  <si>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</si>
  <si>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</si>
  <si>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</si>
  <si>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</si>
  <si>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</si>
  <si>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</si>
  <si>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</si>
  <si>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</si>
  <si>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</si>
  <si>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</si>
  <si>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</si>
  <si>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</si>
  <si>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</si>
  <si>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</si>
  <si>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</si>
  <si>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</si>
  <si>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</si>
  <si>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</si>
  <si>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</si>
  <si>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</si>
  <si>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</si>
  <si>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</si>
  <si>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</si>
  <si>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</si>
  <si>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</si>
  <si>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</si>
  <si>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</si>
  <si>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</si>
  <si>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</si>
  <si>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</si>
  <si>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</si>
  <si>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</si>
  <si>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</si>
  <si>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</si>
  <si>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</si>
  <si>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</si>
  <si>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</si>
  <si>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</si>
  <si>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</si>
  <si>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</si>
  <si>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</si>
  <si>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</si>
  <si>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</si>
  <si>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</si>
  <si>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</si>
  <si>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</si>
  <si>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</si>
  <si>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</si>
  <si>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</si>
  <si>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</si>
  <si>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</si>
  <si>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</si>
  <si>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</si>
  <si>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</si>
  <si>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</si>
  <si>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</si>
  <si>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</si>
  <si>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</si>
  <si>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</si>
  <si>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</si>
  <si>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</si>
  <si>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</si>
  <si>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</si>
  <si>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</si>
  <si>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</si>
  <si>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</si>
  <si>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</si>
  <si>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</si>
  <si>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</si>
  <si>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</si>
  <si>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</si>
  <si>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</si>
  <si>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</si>
  <si>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</si>
  <si>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</si>
  <si>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</si>
  <si>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</si>
  <si>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</si>
  <si>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</si>
  <si>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</si>
  <si>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</si>
  <si>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</si>
  <si>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</si>
  <si>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</si>
  <si>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</si>
  <si>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</si>
  <si>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</si>
  <si>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</si>
  <si>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</si>
  <si>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</si>
  <si>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</si>
  <si>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</si>
  <si>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</si>
  <si>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</si>
  <si>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</si>
  <si>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</si>
  <si>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</si>
  <si>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</si>
  <si>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</si>
  <si>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</si>
  <si>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</si>
  <si>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</si>
  <si>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</si>
  <si>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</si>
  <si>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</si>
  <si>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</si>
  <si>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</si>
  <si>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</si>
  <si>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</si>
  <si>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</si>
  <si>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</si>
  <si>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</si>
  <si>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</si>
  <si>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</si>
  <si>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</si>
  <si>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</si>
  <si>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</si>
  <si>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</si>
  <si>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</si>
  <si>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</si>
  <si>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</si>
  <si>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</si>
  <si>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</si>
  <si>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</si>
  <si>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</si>
  <si>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</si>
  <si>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</si>
  <si>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</si>
  <si>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</si>
  <si>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</si>
  <si>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</si>
  <si>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</si>
  <si>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</si>
  <si>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</si>
  <si>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</si>
  <si>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</si>
  <si>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</si>
  <si>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</si>
  <si>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</si>
  <si>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</si>
  <si>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</si>
  <si>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</si>
  <si>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</si>
  <si>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</si>
  <si>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</si>
  <si>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</si>
  <si>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</si>
  <si>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</si>
  <si>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</si>
  <si>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</si>
  <si>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</si>
  <si>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</si>
  <si>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</si>
  <si>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</si>
  <si>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</si>
  <si>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</si>
  <si>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</si>
  <si>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</si>
  <si>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</si>
  <si>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</si>
  <si>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</si>
  <si>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</si>
  <si>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</si>
  <si>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</si>
  <si>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</si>
  <si>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</si>
  <si>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</si>
  <si>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</si>
  <si>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</si>
  <si>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</si>
  <si>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</si>
  <si>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</si>
  <si>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</si>
  <si>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</si>
  <si>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</si>
  <si>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</si>
  <si>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</si>
  <si>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</si>
  <si>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</si>
  <si>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</si>
  <si>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</si>
  <si>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</si>
  <si>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</si>
  <si>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</si>
  <si>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</si>
  <si>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</si>
  <si>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</si>
  <si>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</si>
  <si>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</si>
  <si>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</si>
  <si>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</si>
  <si>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</si>
  <si>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</si>
  <si>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</si>
  <si>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</si>
  <si>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</si>
  <si>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</si>
  <si>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</si>
  <si>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</si>
  <si>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</si>
  <si>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</si>
  <si>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</si>
  <si>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</si>
  <si>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</si>
  <si>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</si>
  <si>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</si>
  <si>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</si>
  <si>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</si>
  <si>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</si>
  <si>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</si>
  <si>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</si>
  <si>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</si>
  <si>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</si>
  <si>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</si>
  <si>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</si>
  <si>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</si>
  <si>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</si>
  <si>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</si>
  <si>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</si>
  <si>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</si>
  <si>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</si>
  <si>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</si>
  <si>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</si>
  <si>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</si>
  <si>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</si>
  <si>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</si>
  <si>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</si>
  <si>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</si>
  <si>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</si>
  <si>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</si>
  <si>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</si>
  <si>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</si>
  <si>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</si>
  <si>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</si>
  <si>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</si>
  <si>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</si>
  <si>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</si>
  <si>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</si>
  <si>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</si>
  <si>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</si>
  <si>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</si>
  <si>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</si>
  <si>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</si>
  <si>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</si>
  <si>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</si>
  <si>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</si>
  <si>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</si>
  <si>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</si>
  <si>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</si>
  <si>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</si>
  <si>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</si>
  <si>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</si>
  <si>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</si>
  <si>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</si>
  <si>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</si>
  <si>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</si>
  <si>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</si>
  <si>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</si>
  <si>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</si>
  <si>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</si>
  <si>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</si>
  <si>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</si>
  <si>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</si>
  <si>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</si>
  <si>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</si>
  <si>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</si>
  <si>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</si>
  <si>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</si>
  <si>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</si>
  <si>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</si>
  <si>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</si>
  <si>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</si>
  <si>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</si>
  <si>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</si>
  <si>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</si>
  <si>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</si>
  <si>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</si>
  <si>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</si>
  <si>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</si>
  <si>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</si>
  <si>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</si>
  <si>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</si>
  <si>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</si>
  <si>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</si>
  <si>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</si>
  <si>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</si>
  <si>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</si>
  <si>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</si>
  <si>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</si>
  <si>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</si>
  <si>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</si>
  <si>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</si>
  <si>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</si>
  <si>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</si>
  <si>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</si>
  <si>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</si>
  <si>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</si>
  <si>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</si>
  <si>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</si>
  <si>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</si>
  <si>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</si>
  <si>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</si>
  <si>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</si>
  <si>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</si>
  <si>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</si>
  <si>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</si>
  <si>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</si>
  <si>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</si>
  <si>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</si>
  <si>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</si>
  <si>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</si>
  <si>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</si>
  <si>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</si>
  <si>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</si>
  <si>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</si>
  <si>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</si>
  <si>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</si>
  <si>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</si>
  <si>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</si>
  <si>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</si>
  <si>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</si>
  <si>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</si>
  <si>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</si>
  <si>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</si>
  <si>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</si>
  <si>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</si>
  <si>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</si>
  <si>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</si>
  <si>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</si>
  <si>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</si>
  <si>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</si>
  <si>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</si>
  <si>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</si>
  <si>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</si>
  <si>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</si>
  <si>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</si>
  <si>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</si>
  <si>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</si>
  <si>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</si>
  <si>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</si>
  <si>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</si>
  <si>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</si>
  <si>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</si>
  <si>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</si>
  <si>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</si>
  <si>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</si>
  <si>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</si>
  <si>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</si>
  <si>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</si>
  <si>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</si>
  <si>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</si>
  <si>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</si>
  <si>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</si>
  <si>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</si>
  <si>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</si>
  <si>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</si>
  <si>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</si>
  <si>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</si>
  <si>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</si>
  <si>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</si>
  <si>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</si>
  <si>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</si>
  <si>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</si>
  <si>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</si>
  <si>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</si>
  <si>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</si>
  <si>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</si>
  <si>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</si>
  <si>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</si>
  <si>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</si>
  <si>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</si>
  <si>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</si>
  <si>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</si>
  <si>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</si>
  <si>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</si>
  <si>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</si>
  <si>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</si>
  <si>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</si>
  <si>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</si>
  <si>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</si>
  <si>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</si>
  <si>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</si>
  <si>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</si>
  <si>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</si>
  <si>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</si>
  <si>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</si>
  <si>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</si>
  <si>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</si>
  <si>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</si>
  <si>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</si>
  <si>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</si>
  <si>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</si>
  <si>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</si>
  <si>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</si>
  <si>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</si>
  <si>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</si>
  <si>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</si>
  <si>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</si>
  <si>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</si>
  <si>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</si>
  <si>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</si>
  <si>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</si>
  <si>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</si>
  <si>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</si>
  <si>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</si>
  <si>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</si>
  <si>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</si>
  <si>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</si>
  <si>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</si>
  <si>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</si>
  <si>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</si>
  <si>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</si>
  <si>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</si>
  <si>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</si>
  <si>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</si>
  <si>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</si>
  <si>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</si>
  <si>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</si>
  <si>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</si>
  <si>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</si>
  <si>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</si>
  <si>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</si>
  <si>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</si>
  <si>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</si>
  <si>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</si>
  <si>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</si>
  <si>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</si>
  <si>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</si>
  <si>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</si>
  <si>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</si>
  <si>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</si>
  <si>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</si>
  <si>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</si>
  <si>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</si>
  <si>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</si>
  <si>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</si>
  <si>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</si>
  <si>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</si>
  <si>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</si>
  <si>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</si>
  <si>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</si>
  <si>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</si>
  <si>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</si>
  <si>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</si>
  <si>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</si>
  <si>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</si>
  <si>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</si>
  <si>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</si>
  <si>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</si>
  <si>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</si>
  <si>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</si>
  <si>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</si>
  <si>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</si>
  <si>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</si>
  <si>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</si>
  <si>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</si>
  <si>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</si>
  <si>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</si>
  <si>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</si>
  <si>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</si>
  <si>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</si>
  <si>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</si>
  <si>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</si>
  <si>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</si>
  <si>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</si>
  <si>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</si>
  <si>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</si>
  <si>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</si>
  <si>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</si>
  <si>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</si>
  <si>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</si>
  <si>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</si>
  <si>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</si>
  <si>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</si>
  <si>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</si>
  <si>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</si>
  <si>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</si>
  <si>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</si>
  <si>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</si>
  <si>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</si>
  <si>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</si>
  <si>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</si>
  <si>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</si>
  <si>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</si>
  <si>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</si>
  <si>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</si>
  <si>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</si>
  <si>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</si>
  <si>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</si>
  <si>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</si>
  <si>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</si>
  <si>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</si>
  <si>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</si>
  <si>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</si>
  <si>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</si>
  <si>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</si>
  <si>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</si>
  <si>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</si>
  <si>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</si>
  <si>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</si>
  <si>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</si>
  <si>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</si>
  <si>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</si>
  <si>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</si>
  <si>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</si>
  <si>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</si>
  <si>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</si>
  <si>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</si>
  <si>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</si>
  <si>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</si>
  <si>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</si>
  <si>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</si>
  <si>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</si>
  <si>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</si>
  <si>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</si>
  <si>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</si>
  <si>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</si>
  <si>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</si>
  <si>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</si>
  <si>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</si>
  <si>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</si>
  <si>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</si>
  <si>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</si>
  <si>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</si>
  <si>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</si>
  <si>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</si>
  <si>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</si>
  <si>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</si>
  <si>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</si>
  <si>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</si>
  <si>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</si>
  <si>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</si>
  <si>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</si>
  <si>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</si>
  <si>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</si>
  <si>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</si>
  <si>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</si>
  <si>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</si>
  <si>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</si>
  <si>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</si>
  <si>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</si>
  <si>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</si>
  <si>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</si>
  <si>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</si>
  <si>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</si>
  <si>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</si>
  <si>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</si>
  <si>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</si>
  <si>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</si>
  <si>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</si>
  <si>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</si>
  <si>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</si>
  <si>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</si>
  <si>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</si>
  <si>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</si>
  <si>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</si>
  <si>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</si>
  <si>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</si>
  <si>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</si>
  <si>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</si>
  <si>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</si>
  <si>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</si>
  <si>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</si>
  <si>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</si>
  <si>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</si>
  <si>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</si>
  <si>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</si>
  <si>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</si>
  <si>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</si>
  <si>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</si>
  <si>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</si>
  <si>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</si>
  <si>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</si>
  <si>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</si>
  <si>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</si>
  <si>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</si>
  <si>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</si>
  <si>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</si>
  <si>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</si>
  <si>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</si>
  <si>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</si>
  <si>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</si>
  <si>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</si>
  <si>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</si>
  <si>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</si>
  <si>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</si>
  <si>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</si>
  <si>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</si>
  <si>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</si>
  <si>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</si>
  <si>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</si>
  <si>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</si>
  <si>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</si>
  <si>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</si>
  <si>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</si>
  <si>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</si>
  <si>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</si>
  <si>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</si>
  <si>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</si>
  <si>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</si>
  <si>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</si>
  <si>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</si>
  <si>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</si>
  <si>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</si>
  <si>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</si>
  <si>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</si>
  <si>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</si>
  <si>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</si>
  <si>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</si>
  <si>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</si>
  <si>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</si>
  <si>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</si>
  <si>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</si>
  <si>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</si>
  <si>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</si>
  <si>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</si>
  <si>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</si>
  <si>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</si>
  <si>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</si>
  <si>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</si>
  <si>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</si>
  <si>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</si>
  <si>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</si>
  <si>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</si>
  <si>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</si>
  <si>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</si>
  <si>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</si>
  <si>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</si>
  <si>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</si>
  <si>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</si>
  <si>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</si>
  <si>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</si>
  <si>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</si>
  <si>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</si>
  <si>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</si>
  <si>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</si>
  <si>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</si>
  <si>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</si>
  <si>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</si>
  <si>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</si>
  <si>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</si>
  <si>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</si>
  <si>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</si>
  <si>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</si>
  <si>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</si>
  <si>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</si>
  <si>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</si>
  <si>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</si>
  <si>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</si>
  <si>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</si>
  <si>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</si>
  <si>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</si>
  <si>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</si>
  <si>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</si>
  <si>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</si>
  <si>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</si>
  <si>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</si>
  <si>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</si>
  <si>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</si>
  <si>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</si>
  <si>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</si>
  <si>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</si>
  <si>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</si>
  <si>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</si>
  <si>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</si>
  <si>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</si>
  <si>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</si>
  <si>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</si>
  <si>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</si>
  <si>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</si>
  <si>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</si>
  <si>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</si>
  <si>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</si>
  <si>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</si>
  <si>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</si>
  <si>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</si>
  <si>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</si>
  <si>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</si>
  <si>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</si>
  <si>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</si>
  <si>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</si>
  <si>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</si>
  <si>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</si>
  <si>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</si>
  <si>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</si>
  <si>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</si>
  <si>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</si>
  <si>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</si>
  <si>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</si>
  <si>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</si>
  <si>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</si>
  <si>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</si>
  <si>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</si>
  <si>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</si>
  <si>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</si>
  <si>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</si>
  <si>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</si>
  <si>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</si>
  <si>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</si>
  <si>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</si>
  <si>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</si>
  <si>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</si>
  <si>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</si>
  <si>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</si>
  <si>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</si>
  <si>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</si>
  <si>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</si>
  <si>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</si>
  <si>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</si>
  <si>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</si>
  <si>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</si>
  <si>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</si>
  <si>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</si>
  <si>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</si>
  <si>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</si>
  <si>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</si>
  <si>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</si>
  <si>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</si>
  <si>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</si>
  <si>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</si>
  <si>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</si>
  <si>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</si>
  <si>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</si>
  <si>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</si>
  <si>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</si>
  <si>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</si>
  <si>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</si>
  <si>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</si>
  <si>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</si>
  <si>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</si>
  <si>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</si>
  <si>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</si>
  <si>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</si>
  <si>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</si>
  <si>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</si>
  <si>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</si>
  <si>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</si>
  <si>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</si>
  <si>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</si>
  <si>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</si>
  <si>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</si>
  <si>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</si>
  <si>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</si>
  <si>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</si>
  <si>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</si>
  <si>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</si>
  <si>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</si>
  <si>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</si>
  <si>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</si>
  <si>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</si>
  <si>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</si>
  <si>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</si>
  <si>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</si>
  <si>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</si>
  <si>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</si>
  <si>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</si>
  <si>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</si>
  <si>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</si>
  <si>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</si>
  <si>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</si>
  <si>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</si>
  <si>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</si>
  <si>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</si>
  <si>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</si>
  <si>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</si>
  <si>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</si>
  <si>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</si>
  <si>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</si>
  <si>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</si>
  <si>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</si>
  <si>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</si>
  <si>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</si>
  <si>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</si>
  <si>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</si>
  <si>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</si>
  <si>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</si>
  <si>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</si>
  <si>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</si>
  <si>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</si>
  <si>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</si>
  <si>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</si>
  <si>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</si>
  <si>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</si>
  <si>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</si>
  <si>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</si>
  <si>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</si>
  <si>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</si>
  <si>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</si>
  <si>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</si>
  <si>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</si>
  <si>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</si>
  <si>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</si>
  <si>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</si>
  <si>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</si>
  <si>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</si>
  <si>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</si>
  <si>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</si>
  <si>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</si>
  <si>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</si>
  <si>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</si>
  <si>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</si>
  <si>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</si>
  <si>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</si>
  <si>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</si>
  <si>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</si>
  <si>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</si>
  <si>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</si>
  <si>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</si>
  <si>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</si>
  <si>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</si>
  <si>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</si>
  <si>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</si>
  <si>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</si>
  <si>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</si>
  <si>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</si>
  <si>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</si>
  <si>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</si>
  <si>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</si>
  <si>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</si>
  <si>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</si>
  <si>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</si>
  <si>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</si>
  <si>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</si>
  <si>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</si>
  <si>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</si>
  <si>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</si>
  <si>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</si>
  <si>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</si>
  <si>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</si>
  <si>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</si>
  <si>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</si>
  <si>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</si>
  <si>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</si>
  <si>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</si>
  <si>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</si>
  <si>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</si>
  <si>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</si>
  <si>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</si>
  <si>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</si>
  <si>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</si>
  <si>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</si>
  <si>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</si>
  <si>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</si>
  <si>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</si>
  <si>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</si>
  <si>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</si>
  <si>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</si>
  <si>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</si>
  <si>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</si>
  <si>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</si>
  <si>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</si>
  <si>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</si>
  <si>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</si>
  <si>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</si>
  <si>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</si>
  <si>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</si>
  <si>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</si>
  <si>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</si>
  <si>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</si>
  <si>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</si>
  <si>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</si>
  <si>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</si>
  <si>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</si>
  <si>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</si>
  <si>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</si>
  <si>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</si>
  <si>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</si>
  <si>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</si>
  <si>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</si>
  <si>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</si>
  <si>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</si>
  <si>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</si>
  <si>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</si>
  <si>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</si>
  <si>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</si>
  <si>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</si>
  <si>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</si>
  <si>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</si>
  <si>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</si>
  <si>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</si>
  <si>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</si>
  <si>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</si>
  <si>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</si>
  <si>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</si>
  <si>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</si>
  <si>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</si>
  <si>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</si>
  <si>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</si>
  <si>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</si>
  <si>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</si>
  <si>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</si>
  <si>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</si>
  <si>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</si>
  <si>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</si>
  <si>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</si>
  <si>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</si>
  <si>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</si>
  <si>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</si>
  <si>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</si>
  <si>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</si>
  <si>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</si>
  <si>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</si>
  <si>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</si>
  <si>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</si>
  <si>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</si>
  <si>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</si>
  <si>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</si>
  <si>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</si>
  <si>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</si>
  <si>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</si>
  <si>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</si>
  <si>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</si>
  <si>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</si>
  <si>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</si>
  <si>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</si>
  <si>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</si>
  <si>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</si>
  <si>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</si>
  <si>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</si>
  <si>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</si>
  <si>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</si>
  <si>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</si>
  <si>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</si>
  <si>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</si>
  <si>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</si>
  <si>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</si>
  <si>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</si>
  <si>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</si>
  <si>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</si>
  <si>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</si>
  <si>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</si>
  <si>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</si>
  <si>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</si>
  <si>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</si>
  <si>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</si>
  <si>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</si>
  <si>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</si>
  <si>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</si>
  <si>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</si>
  <si>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</si>
  <si>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</si>
  <si>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</si>
  <si>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</si>
  <si>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</si>
  <si>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</si>
  <si>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</si>
  <si>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</si>
  <si>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</si>
  <si>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</si>
  <si>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</si>
  <si>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</si>
  <si>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</si>
  <si>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</si>
  <si>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</si>
  <si>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</si>
  <si>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</si>
  <si>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</si>
  <si>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</si>
  <si>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</si>
  <si>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</si>
  <si>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</si>
  <si>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</si>
  <si>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</si>
  <si>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</si>
  <si>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</si>
  <si>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</si>
  <si>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</si>
  <si>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</si>
  <si>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</si>
  <si>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</si>
  <si>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</si>
  <si>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</si>
  <si>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</si>
  <si>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</si>
  <si>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</si>
  <si>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</si>
  <si>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</si>
  <si>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</si>
  <si>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</si>
  <si>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</si>
  <si>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</si>
  <si>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</si>
  <si>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</si>
  <si>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</si>
  <si>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</si>
  <si>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</si>
  <si>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</si>
  <si>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</si>
  <si>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</si>
  <si>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</si>
  <si>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</si>
  <si>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</si>
  <si>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</si>
  <si>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</si>
  <si>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</si>
  <si>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</si>
  <si>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</si>
  <si>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</si>
  <si>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</si>
  <si>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</si>
  <si>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</si>
  <si>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</si>
  <si>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</si>
  <si>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</si>
  <si>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</si>
  <si>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</si>
  <si>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</si>
  <si>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</si>
  <si>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</si>
  <si>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</si>
  <si>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</si>
  <si>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</si>
  <si>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</si>
  <si>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</si>
  <si>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</si>
  <si>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</si>
  <si>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</si>
  <si>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</si>
  <si>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</si>
  <si>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</si>
  <si>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</si>
  <si>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</si>
  <si>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</si>
  <si>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</si>
  <si>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</si>
  <si>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</si>
  <si>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</si>
  <si>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</si>
  <si>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</si>
  <si>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</si>
  <si>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</si>
  <si>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</si>
  <si>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</si>
  <si>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</si>
  <si>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</si>
  <si>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</si>
  <si>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</si>
  <si>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</si>
  <si>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</si>
  <si>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</si>
  <si>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</si>
  <si>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</si>
  <si>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</si>
  <si>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</si>
  <si>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</si>
  <si>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</si>
  <si>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</si>
  <si>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</si>
  <si>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</si>
  <si>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</si>
  <si>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</si>
  <si>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</si>
  <si>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</si>
  <si>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</si>
  <si>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</si>
  <si>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</si>
  <si>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</si>
  <si>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</si>
  <si>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</si>
  <si>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</si>
  <si>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</si>
  <si>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</si>
  <si>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</si>
  <si>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</si>
  <si>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</si>
  <si>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</si>
  <si>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</si>
  <si>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</si>
  <si>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</si>
  <si>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</si>
  <si>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</si>
  <si>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</si>
  <si>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</si>
  <si>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</si>
  <si>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</si>
  <si>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</si>
  <si>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</si>
  <si>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</si>
  <si>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</si>
  <si>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</si>
  <si>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</si>
  <si>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</si>
  <si>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</si>
  <si>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</si>
  <si>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</si>
  <si>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</si>
  <si>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</si>
  <si>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</si>
  <si>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</si>
  <si>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</si>
  <si>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</si>
  <si>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</si>
  <si>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</si>
  <si>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</si>
  <si>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</si>
  <si>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</si>
  <si>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</si>
  <si>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</si>
  <si>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</si>
  <si>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</si>
  <si>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</si>
  <si>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</si>
  <si>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</si>
  <si>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</si>
  <si>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</si>
  <si>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</si>
  <si>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</si>
  <si>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</si>
  <si>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</si>
  <si>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</si>
  <si>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</si>
  <si>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</si>
  <si>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</si>
  <si>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</si>
  <si>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</si>
  <si>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</si>
  <si>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</si>
  <si>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</si>
  <si>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</si>
  <si>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</si>
  <si>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</si>
  <si>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</si>
  <si>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</si>
  <si>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</si>
  <si>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</si>
  <si>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</si>
  <si>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</si>
  <si>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</si>
  <si>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</si>
  <si>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</si>
  <si>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</si>
  <si>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</si>
  <si>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</si>
  <si>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</si>
  <si>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</si>
  <si>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</si>
  <si>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</si>
  <si>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</si>
  <si>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</si>
  <si>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</si>
  <si>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</si>
  <si>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</si>
  <si>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</si>
  <si>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</si>
  <si>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</si>
  <si>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</si>
  <si>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</si>
  <si>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</si>
  <si>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</si>
  <si>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</si>
  <si>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</si>
  <si>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</si>
  <si>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</si>
  <si>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</si>
  <si>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</si>
  <si>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</si>
  <si>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</si>
  <si>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</si>
  <si>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</si>
  <si>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</si>
  <si>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</si>
  <si>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</si>
  <si>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</si>
  <si>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</si>
  <si>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</si>
  <si>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</si>
  <si>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</si>
  <si>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</si>
  <si>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</si>
  <si>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</si>
  <si>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</si>
  <si>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</si>
  <si>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</si>
  <si>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</si>
  <si>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</si>
  <si>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</si>
  <si>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</si>
  <si>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</si>
  <si>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</si>
  <si>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</si>
  <si>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</si>
  <si>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</si>
  <si>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</si>
  <si>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</si>
  <si>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</si>
  <si>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</si>
  <si>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</si>
  <si>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</si>
  <si>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</si>
  <si>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</si>
  <si>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</si>
  <si>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</si>
  <si>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</si>
  <si>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</si>
  <si>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</si>
  <si>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</si>
  <si>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</si>
  <si>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</si>
  <si>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</si>
  <si>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</si>
  <si>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</si>
  <si>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</si>
  <si>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</si>
  <si>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</si>
  <si>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</si>
  <si>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</si>
  <si>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</si>
  <si>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</si>
  <si>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</si>
  <si>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</si>
  <si>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</si>
  <si>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</si>
  <si>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</si>
  <si>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</si>
  <si>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</si>
  <si>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</si>
  <si>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</si>
  <si>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</si>
  <si>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</si>
  <si>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</si>
  <si>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</si>
  <si>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</si>
  <si>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</si>
  <si>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</si>
  <si>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</si>
  <si>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</si>
  <si>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</si>
  <si>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</si>
  <si>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</si>
  <si>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</si>
  <si>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</si>
  <si>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</si>
  <si>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</si>
  <si>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</si>
  <si>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</si>
  <si>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</si>
  <si>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</si>
  <si>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</si>
  <si>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</si>
  <si>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</si>
  <si>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</si>
  <si>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</si>
  <si>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</si>
  <si>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</si>
  <si>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</si>
  <si>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</si>
  <si>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</si>
  <si>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</si>
  <si>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</si>
  <si>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</si>
  <si>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</si>
  <si>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</si>
  <si>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</si>
  <si>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</si>
  <si>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</si>
  <si>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</si>
  <si>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</si>
  <si>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</si>
  <si>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</si>
  <si>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</si>
  <si>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</si>
  <si>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</si>
  <si>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</si>
  <si>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</si>
  <si>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</si>
  <si>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</si>
  <si>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</si>
  <si>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</si>
  <si>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</si>
  <si>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</si>
  <si>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</si>
  <si>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</si>
  <si>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</si>
  <si>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</si>
  <si>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</si>
  <si>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</si>
  <si>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</si>
  <si>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</si>
  <si>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</si>
  <si>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</si>
  <si>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</si>
  <si>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</si>
  <si>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</si>
  <si>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</si>
  <si>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</si>
  <si>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</si>
  <si>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</si>
  <si>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</si>
  <si>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</si>
  <si>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</si>
  <si>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</si>
  <si>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</si>
  <si>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</si>
  <si>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</si>
  <si>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</si>
  <si>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</si>
  <si>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</si>
  <si>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</si>
  <si>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</si>
  <si>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</si>
  <si>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</si>
  <si>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</si>
  <si>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</si>
  <si>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</si>
  <si>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</si>
  <si>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</si>
  <si>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</si>
  <si>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</si>
  <si>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</si>
  <si>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</si>
  <si>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</si>
  <si>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</si>
  <si>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</si>
  <si>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</si>
  <si>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</si>
  <si>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</si>
  <si>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</si>
  <si>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</si>
  <si>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</si>
  <si>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</si>
  <si>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</si>
  <si>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</si>
  <si>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</si>
  <si>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</si>
  <si>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</si>
  <si>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</si>
  <si>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</si>
  <si>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</si>
  <si>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</si>
  <si>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</si>
  <si>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</si>
  <si>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</si>
  <si>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</si>
  <si>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</si>
  <si>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</si>
  <si>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</si>
  <si>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</si>
  <si>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</si>
  <si>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</si>
  <si>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</si>
  <si>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</si>
  <si>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</si>
  <si>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</si>
  <si>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</si>
  <si>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</si>
  <si>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</si>
  <si>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</si>
  <si>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</si>
  <si>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</si>
  <si>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</si>
  <si>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</si>
  <si>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</si>
  <si>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</si>
  <si>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</si>
  <si>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</si>
  <si>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</si>
  <si>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</si>
  <si>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</si>
  <si>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</si>
  <si>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</si>
  <si>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</si>
  <si>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</si>
  <si>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</si>
  <si>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</si>
  <si>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</si>
  <si>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</si>
  <si>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</si>
  <si>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</si>
  <si>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</si>
  <si>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</si>
  <si>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</si>
  <si>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</si>
  <si>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</si>
  <si>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</si>
  <si>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</si>
  <si>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</si>
  <si>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</si>
  <si>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</si>
  <si>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</si>
  <si>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</si>
  <si>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</si>
  <si>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</si>
  <si>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</si>
  <si>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</si>
  <si>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</si>
  <si>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</si>
  <si>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</si>
  <si>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</si>
  <si>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</si>
  <si>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</si>
  <si>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</si>
  <si>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</si>
  <si>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</si>
  <si>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</si>
  <si>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</si>
  <si>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</si>
  <si>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</si>
  <si>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</si>
  <si>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</si>
  <si>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</si>
  <si>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</si>
  <si>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</si>
  <si>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</si>
  <si>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</si>
  <si>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</si>
  <si>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</si>
  <si>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</si>
  <si>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</si>
  <si>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</si>
  <si>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</si>
  <si>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</si>
  <si>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</si>
  <si>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</si>
  <si>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</si>
  <si>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</si>
  <si>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</si>
  <si>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</si>
  <si>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</si>
  <si>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</si>
  <si>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</si>
  <si>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</si>
  <si>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</si>
  <si>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</si>
  <si>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</si>
  <si>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</si>
  <si>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</si>
  <si>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</si>
  <si>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</si>
  <si>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</si>
  <si>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</si>
  <si>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</si>
  <si>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</si>
  <si>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</si>
  <si>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</si>
  <si>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</si>
  <si>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</si>
  <si>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</si>
  <si>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</si>
  <si>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</si>
  <si>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</si>
  <si>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</si>
  <si>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</si>
  <si>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</si>
  <si>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</si>
  <si>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</si>
  <si>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</si>
  <si>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</si>
  <si>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</si>
  <si>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</si>
  <si>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</si>
  <si>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</si>
  <si>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</si>
  <si>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</si>
  <si>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</si>
  <si>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</si>
  <si>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</si>
  <si>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</si>
  <si>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</si>
  <si>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</si>
  <si>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</si>
  <si>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</si>
  <si>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</si>
  <si>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</si>
  <si>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</si>
  <si>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</si>
  <si>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</si>
  <si>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</si>
  <si>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</si>
  <si>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</si>
  <si>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</si>
  <si>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</si>
  <si>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</si>
  <si>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</si>
  <si>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</si>
  <si>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</si>
  <si>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</si>
  <si>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</si>
  <si>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</si>
  <si>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</si>
  <si>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</si>
  <si>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</si>
  <si>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</si>
  <si>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</si>
  <si>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</si>
  <si>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</si>
  <si>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</si>
  <si>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</si>
  <si>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</si>
  <si>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</si>
  <si>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</si>
  <si>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</si>
  <si>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</si>
  <si>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</si>
  <si>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</si>
  <si>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</si>
  <si>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</si>
  <si>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</si>
  <si>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</si>
  <si>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</si>
  <si>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</si>
  <si>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</si>
  <si>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</si>
  <si>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</si>
  <si>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</si>
  <si>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</si>
  <si>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</si>
  <si>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</si>
  <si>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</si>
  <si>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</si>
  <si>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</si>
  <si>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</si>
  <si>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</si>
  <si>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</si>
  <si>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</si>
  <si>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</si>
  <si>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</si>
  <si>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</si>
  <si>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</si>
  <si>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</si>
  <si>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</si>
  <si>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</si>
  <si>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</si>
  <si>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</si>
  <si>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</si>
  <si>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</si>
  <si>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</si>
  <si>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</si>
  <si>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</si>
  <si>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</si>
  <si>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</si>
  <si>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</si>
  <si>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</si>
  <si>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</si>
  <si>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</si>
  <si>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</si>
  <si>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</si>
  <si>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</si>
  <si>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</si>
  <si>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</si>
  <si>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</si>
  <si>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</si>
  <si>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</si>
  <si>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</si>
  <si>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</si>
  <si>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</si>
  <si>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</si>
  <si>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</si>
  <si>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</si>
  <si>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</si>
  <si>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</si>
  <si>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</si>
  <si>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</si>
  <si>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</si>
  <si>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</si>
  <si>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</si>
  <si>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</si>
  <si>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</si>
  <si>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</si>
  <si>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</si>
  <si>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</si>
  <si>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</si>
  <si>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</si>
  <si>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</si>
  <si>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</si>
  <si>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</si>
  <si>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</si>
  <si>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</si>
  <si>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</si>
  <si>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</si>
  <si>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</si>
  <si>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</si>
  <si>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</si>
  <si>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</si>
  <si>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</si>
  <si>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</si>
  <si>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</si>
  <si>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</si>
  <si>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</si>
  <si>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</si>
  <si>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</si>
  <si>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</si>
  <si>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</si>
  <si>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</si>
  <si>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</si>
  <si>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</si>
  <si>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</si>
  <si>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</si>
  <si>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</si>
  <si>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</si>
  <si>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</si>
  <si>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</si>
  <si>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</si>
  <si>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</si>
  <si>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</si>
  <si>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</si>
  <si>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</si>
  <si>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</si>
  <si>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</si>
  <si>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</si>
  <si>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</si>
  <si>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</si>
  <si>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</si>
  <si>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</si>
  <si>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</si>
  <si>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</si>
  <si>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</si>
  <si>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</si>
  <si>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</si>
  <si>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</si>
  <si>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</si>
  <si>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</si>
  <si>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</si>
  <si>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</si>
  <si>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</si>
  <si>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</si>
  <si>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</si>
  <si>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</si>
  <si>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</si>
  <si>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</si>
  <si>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</si>
  <si>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</si>
  <si>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</si>
  <si>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</si>
  <si>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</si>
  <si>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</si>
  <si>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</si>
  <si>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</si>
  <si>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</si>
  <si>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</si>
  <si>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</si>
  <si>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</si>
  <si>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</si>
  <si>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</si>
  <si>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</si>
  <si>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</si>
  <si>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</si>
  <si>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</si>
  <si>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</si>
  <si>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</si>
  <si>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</si>
  <si>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</si>
  <si>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</si>
  <si>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</si>
  <si>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</si>
  <si>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</si>
  <si>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</si>
  <si>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</si>
  <si>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</si>
  <si>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</si>
  <si>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</si>
  <si>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</si>
  <si>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</si>
  <si>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</si>
  <si>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</si>
  <si>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</si>
  <si>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</si>
  <si>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</si>
  <si>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</si>
  <si>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</si>
  <si>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</si>
  <si>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</si>
  <si>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</si>
  <si>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</si>
  <si>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</si>
  <si>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</si>
  <si>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</si>
  <si>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</si>
  <si>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</si>
  <si>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</si>
  <si>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</si>
  <si>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</si>
  <si>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</si>
  <si>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</si>
  <si>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</si>
  <si>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</si>
  <si>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</si>
  <si>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</si>
  <si>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</si>
  <si>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</si>
  <si>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</si>
  <si>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</si>
  <si>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</si>
  <si>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</si>
  <si>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</si>
  <si>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</si>
  <si>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</si>
  <si>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</si>
  <si>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</si>
  <si>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</si>
  <si>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</si>
  <si>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</si>
  <si>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</si>
  <si>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</si>
  <si>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</si>
  <si>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</si>
  <si>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</si>
  <si>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</si>
  <si>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</si>
  <si>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</si>
  <si>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</si>
  <si>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</si>
  <si>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</si>
  <si>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</si>
  <si>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</si>
  <si>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</si>
  <si>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</si>
  <si>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</si>
  <si>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</si>
  <si>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</si>
  <si>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</si>
  <si>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</si>
  <si>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</si>
  <si>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</si>
  <si>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</si>
  <si>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</si>
  <si>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</si>
  <si>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</si>
  <si>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</si>
  <si>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</si>
  <si>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</si>
  <si>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</si>
  <si>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</si>
  <si>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</si>
  <si>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</si>
  <si>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</si>
  <si>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</si>
  <si>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</si>
  <si>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</si>
  <si>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</si>
  <si>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</si>
  <si>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</si>
  <si>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</si>
  <si>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</si>
  <si>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</si>
  <si>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</si>
  <si>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</si>
  <si>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</si>
  <si>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</si>
  <si>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</si>
  <si>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</si>
  <si>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</si>
  <si>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</si>
  <si>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</si>
  <si>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</si>
  <si>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</si>
  <si>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</si>
  <si>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</si>
  <si>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</si>
  <si>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</si>
  <si>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</si>
  <si>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</si>
  <si>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</si>
  <si>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</si>
  <si>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</si>
  <si>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</si>
  <si>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</si>
  <si>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</si>
  <si>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</si>
  <si>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</si>
  <si>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</si>
  <si>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</si>
  <si>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</si>
  <si>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</si>
  <si>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</si>
  <si>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</si>
  <si>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</si>
  <si>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</si>
  <si>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</si>
  <si>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</si>
  <si>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</si>
  <si>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</si>
  <si>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</si>
  <si>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</si>
  <si>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</si>
  <si>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</si>
  <si>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</si>
  <si>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</si>
  <si>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</si>
  <si>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</si>
  <si>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</si>
  <si>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</si>
  <si>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</si>
  <si>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</si>
  <si>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</si>
  <si>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</si>
  <si>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</si>
  <si>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</si>
  <si>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</si>
  <si>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</si>
  <si>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</si>
  <si>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</si>
  <si>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</si>
  <si>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</si>
  <si>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</si>
  <si>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</si>
  <si>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</si>
  <si>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</si>
  <si>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</si>
  <si>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</si>
  <si>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</si>
  <si>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</si>
  <si>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</si>
  <si>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</si>
  <si>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</si>
  <si>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</si>
  <si>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</si>
  <si>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</si>
  <si>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</si>
  <si>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</si>
  <si>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</si>
  <si>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</si>
  <si>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</si>
  <si>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</si>
  <si>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</si>
  <si>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</si>
  <si>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</si>
  <si>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</si>
  <si>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</si>
  <si>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</si>
  <si>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</si>
  <si>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</si>
  <si>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</si>
  <si>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</si>
  <si>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</si>
  <si>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</si>
  <si>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</si>
  <si>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</si>
  <si>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</si>
  <si>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</si>
  <si>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</si>
  <si>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</si>
  <si>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</si>
  <si>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</si>
  <si>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</si>
  <si>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</si>
  <si>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</si>
  <si>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</si>
  <si>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</si>
  <si>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</si>
  <si>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</si>
  <si>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</si>
  <si>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</si>
  <si>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</si>
  <si>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</si>
  <si>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</si>
  <si>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</si>
  <si>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</si>
  <si>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</si>
  <si>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</si>
  <si>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</si>
  <si>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</si>
  <si>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</si>
  <si>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</si>
  <si>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</si>
  <si>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</si>
  <si>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</si>
  <si>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</si>
  <si>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</si>
  <si>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</si>
  <si>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</si>
  <si>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</si>
  <si>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</si>
  <si>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</si>
  <si>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</si>
  <si>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</si>
  <si>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</si>
  <si>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</si>
  <si>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</si>
  <si>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</si>
  <si>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</si>
  <si>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</si>
  <si>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</si>
  <si>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</si>
  <si>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</si>
  <si>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</si>
  <si>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</si>
  <si>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</si>
  <si>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</si>
  <si>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</si>
  <si>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</si>
  <si>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</si>
  <si>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</si>
  <si>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</si>
  <si>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</si>
  <si>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</si>
  <si>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</si>
  <si>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</si>
  <si>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</si>
  <si>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</si>
  <si>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</si>
  <si>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</si>
  <si>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</si>
  <si>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</si>
  <si>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</si>
  <si>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</si>
  <si>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</si>
  <si>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</si>
  <si>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</si>
  <si>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</si>
  <si>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</si>
  <si>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</si>
  <si>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</si>
  <si>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</si>
  <si>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</si>
  <si>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</si>
  <si>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</si>
  <si>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</si>
  <si>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</si>
  <si>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</si>
  <si>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</si>
  <si>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</si>
  <si>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</si>
  <si>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</si>
  <si>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</si>
  <si>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</si>
  <si>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</si>
  <si>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</si>
  <si>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</si>
  <si>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</si>
  <si>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</si>
  <si>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</si>
  <si>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</si>
  <si>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</si>
  <si>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</si>
  <si>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</si>
  <si>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</si>
  <si>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</si>
  <si>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</si>
  <si>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</si>
  <si>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</si>
  <si>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</si>
  <si>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</si>
  <si>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</si>
  <si>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</si>
  <si>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</si>
  <si>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</si>
  <si>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</si>
  <si>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</si>
  <si>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</si>
  <si>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</si>
  <si>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</si>
  <si>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</si>
  <si>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</si>
  <si>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</si>
  <si>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</si>
  <si>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</si>
  <si>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</si>
  <si>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</si>
  <si>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</si>
  <si>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</si>
  <si>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</si>
  <si>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</si>
  <si>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</si>
  <si>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</si>
  <si>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</si>
  <si>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</si>
  <si>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</si>
  <si>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</si>
  <si>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</si>
  <si>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</si>
  <si>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</si>
  <si>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</si>
  <si>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</si>
  <si>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</si>
  <si>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</si>
  <si>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</si>
  <si>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</si>
  <si>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</si>
  <si>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</si>
  <si>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</si>
  <si>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</si>
  <si>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</si>
  <si>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</si>
  <si>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</si>
  <si>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</si>
  <si>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</si>
  <si>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</si>
  <si>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</si>
  <si>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</si>
  <si>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</si>
  <si>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</si>
  <si>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</si>
  <si>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</si>
  <si>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</si>
  <si>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</si>
  <si>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</si>
  <si>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</si>
  <si>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</si>
  <si>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</si>
  <si>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</si>
  <si>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</si>
  <si>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</si>
  <si>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</si>
  <si>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</si>
  <si>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</si>
  <si>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</si>
  <si>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</si>
  <si>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</si>
  <si>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</si>
  <si>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</si>
  <si>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</si>
  <si>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</si>
  <si>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</si>
  <si>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</si>
  <si>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</si>
  <si>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</si>
  <si>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</si>
  <si>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</si>
  <si>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</si>
  <si>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</si>
  <si>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</si>
  <si>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</si>
  <si>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</si>
  <si>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</si>
  <si>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</si>
  <si>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</si>
  <si>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</si>
  <si>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</si>
  <si>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</si>
  <si>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</si>
  <si>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</si>
  <si>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</si>
  <si>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</si>
  <si>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</si>
  <si>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</si>
  <si>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</si>
  <si>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</si>
  <si>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</si>
  <si>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</si>
  <si>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</si>
  <si>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</si>
  <si>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</si>
  <si>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</si>
  <si>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</si>
  <si>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</si>
  <si>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</si>
  <si>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</si>
  <si>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</si>
  <si>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</si>
  <si>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</si>
  <si>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</si>
  <si>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</si>
  <si>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</si>
  <si>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</si>
  <si>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</si>
  <si>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</si>
  <si>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</si>
  <si>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</si>
  <si>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</si>
  <si>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</si>
  <si>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</si>
  <si>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</si>
  <si>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</si>
  <si>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</si>
  <si>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</si>
  <si>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</si>
  <si>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</si>
  <si>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</si>
  <si>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</si>
  <si>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</si>
  <si>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</si>
  <si>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</si>
  <si>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</si>
  <si>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</si>
  <si>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</si>
  <si>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</si>
  <si>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</si>
  <si>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</si>
  <si>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</si>
  <si>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</si>
  <si>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</si>
  <si>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</si>
  <si>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</si>
  <si>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</si>
  <si>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</si>
  <si>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</si>
  <si>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</si>
  <si>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</si>
  <si>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</si>
  <si>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</si>
  <si>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</si>
  <si>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</si>
  <si>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</si>
  <si>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</si>
  <si>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</si>
  <si>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</si>
  <si>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</si>
  <si>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</si>
  <si>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</si>
  <si>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</si>
  <si>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</si>
  <si>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</si>
  <si>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</si>
  <si>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</si>
  <si>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</si>
  <si>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</si>
  <si>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</si>
  <si>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</si>
  <si>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</si>
  <si>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</si>
  <si>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</si>
  <si>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</si>
  <si>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</si>
  <si>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</si>
  <si>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</si>
  <si>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</si>
  <si>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</si>
  <si>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</si>
  <si>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</si>
  <si>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</si>
  <si>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</si>
  <si>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</si>
  <si>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</si>
  <si>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</si>
  <si>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</si>
  <si>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</si>
  <si>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</si>
  <si>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</si>
  <si>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</si>
  <si>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</si>
  <si>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</si>
  <si>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</si>
  <si>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</si>
  <si>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</si>
  <si>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</si>
  <si>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</si>
  <si>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</si>
  <si>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</si>
  <si>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</si>
  <si>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</si>
  <si>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</si>
  <si>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</si>
  <si>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</si>
  <si>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</si>
  <si>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</si>
  <si>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</si>
  <si>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</si>
  <si>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</si>
  <si>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</si>
  <si>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</si>
  <si>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</si>
  <si>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</si>
  <si>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</si>
  <si>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</si>
  <si>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</si>
  <si>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</si>
  <si>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</si>
  <si>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</si>
  <si>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</si>
  <si>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</si>
  <si>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</si>
  <si>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</si>
  <si>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</si>
  <si>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</si>
  <si>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</si>
  <si>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</si>
  <si>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</si>
  <si>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</si>
  <si>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</si>
  <si>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</si>
  <si>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</si>
  <si>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</si>
  <si>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</si>
  <si>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</si>
  <si>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</si>
  <si>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</si>
  <si>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</si>
  <si>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</si>
  <si>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</si>
  <si>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</si>
  <si>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</si>
  <si>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</si>
  <si>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</si>
  <si>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</si>
  <si>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</si>
  <si>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</si>
  <si>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</si>
  <si>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</si>
  <si>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</si>
  <si>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</si>
  <si>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</si>
  <si>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</si>
  <si>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</si>
  <si>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</si>
  <si>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</si>
  <si>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</si>
  <si>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</si>
  <si>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</si>
  <si>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</si>
  <si>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</si>
  <si>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</si>
  <si>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</si>
  <si>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</si>
  <si>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</si>
  <si>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</si>
  <si>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</si>
  <si>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</si>
  <si>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</si>
  <si>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</si>
  <si>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</si>
  <si>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</si>
  <si>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</si>
  <si>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</si>
  <si>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</si>
  <si>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</si>
  <si>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</si>
  <si>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</si>
  <si>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</si>
  <si>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</si>
  <si>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</si>
  <si>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</si>
  <si>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</si>
  <si>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</si>
  <si>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</si>
  <si>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</si>
  <si>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</si>
  <si>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</si>
  <si>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</si>
  <si>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</si>
  <si>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</si>
  <si>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</si>
  <si>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</si>
  <si>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</si>
  <si>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</si>
  <si>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</si>
  <si>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</si>
  <si>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</si>
  <si>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</si>
  <si>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</si>
  <si>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</si>
  <si>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</si>
  <si>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</si>
  <si>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</si>
  <si>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</si>
  <si>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</si>
  <si>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</si>
  <si>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</si>
  <si>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</si>
  <si>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</si>
  <si>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</si>
  <si>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</si>
  <si>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</si>
  <si>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</si>
  <si>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</si>
  <si>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</si>
  <si>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</si>
  <si>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</si>
  <si>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</si>
  <si>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</si>
  <si>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</si>
  <si>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</si>
  <si>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</si>
  <si>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</si>
  <si>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</si>
  <si>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</si>
  <si>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</si>
  <si>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</si>
  <si>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</si>
  <si>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</si>
  <si>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</si>
  <si>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</si>
  <si>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</si>
  <si>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</si>
  <si>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</si>
  <si>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</si>
  <si>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</si>
  <si>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</si>
  <si>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</si>
  <si>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</si>
  <si>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</si>
  <si>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</si>
  <si>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</si>
  <si>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</si>
  <si>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</si>
  <si>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</si>
  <si>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</si>
  <si>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</si>
  <si>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</si>
  <si>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</si>
  <si>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</si>
  <si>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</si>
  <si>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</si>
  <si>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</si>
  <si>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</si>
  <si>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</si>
  <si>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</si>
  <si>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</si>
  <si>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</si>
  <si>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</si>
  <si>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</si>
  <si>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</si>
  <si>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</si>
  <si>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</si>
  <si>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</si>
  <si>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</si>
  <si>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</si>
  <si>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</si>
  <si>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</si>
  <si>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</si>
  <si>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</si>
  <si>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</si>
  <si>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</si>
  <si>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</si>
  <si>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</si>
  <si>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</si>
  <si>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</si>
  <si>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</si>
  <si>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</si>
  <si>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</si>
  <si>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</si>
  <si>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</si>
  <si>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</si>
  <si>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</si>
  <si>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</si>
  <si>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</si>
  <si>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</si>
  <si>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</si>
  <si>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</si>
  <si>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</si>
  <si>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</si>
  <si>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</si>
  <si>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</si>
  <si>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</si>
  <si>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</si>
  <si>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</si>
  <si>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</si>
  <si>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</si>
  <si>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</si>
  <si>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</si>
  <si>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</si>
  <si>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</si>
  <si>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</si>
  <si>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</si>
  <si>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</si>
  <si>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</si>
  <si>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</si>
  <si>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</si>
  <si>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</si>
  <si>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</si>
  <si>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</si>
  <si>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</si>
  <si>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</si>
  <si>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</si>
  <si>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</si>
  <si>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</si>
  <si>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</si>
  <si>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</si>
  <si>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</si>
  <si>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</si>
  <si>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</si>
  <si>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</si>
  <si>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</si>
  <si>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</si>
  <si>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</si>
  <si>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</si>
  <si>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</si>
  <si>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</si>
  <si>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</si>
  <si>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</si>
  <si>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</si>
  <si>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</si>
  <si>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</si>
  <si>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</si>
  <si>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</si>
  <si>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</si>
  <si>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</si>
  <si>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</si>
  <si>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</si>
  <si>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</si>
  <si>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</si>
  <si>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</si>
  <si>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</si>
  <si>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</si>
  <si>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</si>
  <si>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</si>
  <si>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</si>
  <si>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</si>
  <si>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</si>
  <si>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</si>
  <si>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</si>
  <si>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</si>
  <si>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</si>
  <si>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</si>
  <si>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</si>
  <si>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</si>
  <si>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</si>
  <si>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</si>
  <si>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</si>
  <si>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</si>
  <si>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</si>
  <si>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</si>
  <si>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</si>
  <si>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</si>
  <si>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</si>
  <si>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</si>
  <si>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</si>
  <si>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</si>
  <si>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</si>
  <si>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</si>
  <si>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</si>
  <si>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</si>
  <si>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</si>
  <si>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</si>
  <si>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</si>
  <si>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</si>
  <si>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</si>
  <si>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</si>
  <si>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</si>
  <si>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</si>
  <si>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</si>
  <si>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</si>
  <si>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</si>
  <si>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</si>
  <si>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</si>
  <si>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</si>
  <si>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</si>
  <si>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</si>
  <si>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</si>
  <si>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</si>
  <si>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</si>
  <si>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</si>
  <si>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</si>
  <si>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</si>
  <si>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</si>
  <si>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</si>
  <si>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</si>
  <si>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</si>
  <si>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</si>
  <si>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</si>
  <si>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</si>
  <si>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</si>
  <si>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</si>
  <si>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</si>
  <si>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</si>
  <si>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</si>
  <si>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</si>
  <si>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</si>
  <si>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</si>
  <si>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</si>
  <si>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</si>
  <si>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</si>
  <si>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</si>
  <si>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</si>
  <si>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</si>
  <si>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</si>
  <si>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</si>
  <si>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</si>
  <si>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</si>
  <si>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</si>
  <si>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</si>
  <si>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</si>
  <si>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</si>
  <si>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</si>
  <si>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</si>
  <si>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</si>
  <si>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</si>
  <si>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</si>
  <si>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</si>
  <si>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</si>
  <si>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</si>
  <si>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</si>
  <si>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</si>
  <si>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</si>
  <si>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</si>
  <si>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</si>
  <si>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</si>
  <si>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</si>
  <si>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</si>
  <si>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</si>
  <si>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</si>
  <si>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</si>
  <si>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</si>
  <si>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</si>
  <si>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</si>
  <si>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</si>
  <si>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</si>
  <si>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</si>
  <si>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</si>
  <si>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</si>
  <si>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</si>
  <si>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</si>
  <si>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</si>
  <si>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</si>
  <si>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</si>
  <si>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</si>
  <si>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</si>
  <si>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</si>
  <si>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</si>
  <si>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</si>
  <si>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</si>
  <si>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</si>
  <si>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</si>
  <si>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</si>
  <si>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</si>
  <si>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</si>
  <si>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</si>
  <si>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</si>
  <si>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</si>
  <si>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</si>
  <si>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</si>
  <si>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</si>
  <si>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</si>
  <si>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</si>
  <si>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</si>
  <si>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</si>
  <si>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</si>
  <si>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</si>
  <si>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</si>
  <si>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</si>
  <si>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</si>
  <si>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</si>
  <si>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</si>
  <si>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</si>
  <si>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</si>
  <si>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</si>
  <si>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</si>
  <si>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</si>
  <si>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</si>
  <si>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</si>
  <si>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</si>
  <si>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</si>
  <si>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</si>
  <si>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</si>
  <si>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</si>
  <si>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</si>
  <si>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</si>
  <si>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</si>
  <si>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</si>
  <si>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</si>
  <si>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</si>
  <si>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</si>
  <si>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</si>
  <si>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</si>
  <si>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</si>
  <si>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</si>
  <si>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</si>
  <si>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</si>
  <si>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</si>
  <si>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</si>
  <si>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</si>
  <si>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</si>
  <si>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</si>
  <si>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</si>
  <si>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</si>
  <si>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</si>
  <si>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</si>
  <si>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</si>
  <si>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</si>
  <si>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</si>
  <si>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</si>
  <si>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</si>
  <si>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</si>
  <si>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</si>
  <si>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</si>
  <si>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</si>
  <si>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</si>
  <si>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</si>
  <si>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</si>
  <si>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</si>
  <si>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</si>
  <si>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</si>
  <si>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</si>
  <si>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</si>
  <si>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</si>
  <si>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</si>
  <si>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</si>
  <si>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</si>
  <si>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</si>
  <si>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</si>
  <si>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</si>
  <si>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</si>
  <si>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</si>
  <si>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</si>
  <si>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</si>
  <si>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</si>
  <si>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</si>
  <si>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</si>
  <si>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</si>
  <si>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</si>
  <si>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</si>
  <si>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</si>
  <si>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</si>
  <si>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</si>
  <si>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</si>
  <si>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</si>
  <si>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</si>
  <si>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</si>
  <si>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</si>
  <si>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</si>
  <si>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</si>
  <si>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</si>
  <si>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</si>
  <si>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</si>
  <si>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</si>
  <si>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</si>
  <si>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</si>
  <si>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</si>
  <si>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</si>
  <si>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</si>
  <si>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</si>
  <si>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</si>
  <si>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</si>
  <si>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</si>
  <si>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</si>
  <si>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</si>
  <si>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</si>
  <si>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</si>
  <si>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</si>
  <si>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</si>
  <si>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</si>
  <si>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</si>
  <si>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</si>
  <si>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</si>
  <si>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</si>
  <si>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</si>
  <si>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</si>
  <si>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</si>
  <si>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</si>
  <si>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</si>
  <si>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</si>
  <si>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</si>
  <si>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</si>
  <si>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</si>
  <si>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</si>
  <si>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</si>
  <si>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</si>
  <si>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</si>
  <si>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</si>
  <si>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</si>
  <si>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</si>
  <si>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</si>
  <si>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</si>
  <si>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</si>
  <si>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</si>
  <si>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</si>
  <si>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</si>
  <si>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</si>
  <si>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</si>
  <si>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</si>
  <si>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</si>
  <si>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</si>
  <si>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</si>
  <si>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</si>
  <si>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</si>
  <si>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</si>
  <si>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</si>
  <si>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</si>
  <si>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</si>
  <si>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</si>
  <si>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</si>
  <si>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</si>
  <si>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</si>
  <si>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</si>
  <si>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</si>
  <si>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</si>
  <si>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</si>
  <si>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</si>
  <si>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</si>
  <si>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</si>
  <si>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</si>
  <si>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</si>
  <si>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</si>
  <si>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</si>
  <si>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</si>
  <si>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</si>
  <si>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</si>
  <si>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</si>
  <si>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</si>
  <si>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</si>
  <si>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</si>
  <si>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</si>
  <si>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</si>
  <si>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</si>
  <si>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</si>
  <si>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</si>
  <si>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</si>
  <si>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</si>
  <si>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</si>
  <si>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</si>
  <si>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</si>
  <si>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</si>
  <si>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</si>
  <si>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</si>
  <si>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</si>
  <si>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</si>
  <si>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</si>
  <si>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</si>
  <si>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</si>
  <si>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</si>
  <si>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</si>
  <si>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</si>
  <si>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</si>
  <si>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</si>
  <si>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</si>
  <si>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</si>
  <si>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</si>
  <si>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</si>
  <si>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</si>
  <si>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</si>
  <si>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</si>
  <si>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</si>
  <si>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</si>
  <si>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</si>
  <si>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</si>
  <si>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</si>
  <si>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</si>
  <si>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</si>
  <si>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</si>
  <si>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</si>
  <si>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</si>
  <si>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</si>
  <si>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</si>
  <si>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</si>
  <si>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</si>
  <si>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</si>
  <si>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</si>
  <si>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</si>
  <si>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</si>
  <si>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</si>
  <si>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</si>
  <si>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</si>
  <si>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</si>
  <si>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</si>
  <si>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</si>
  <si>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</si>
  <si>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</si>
  <si>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</si>
  <si>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</si>
  <si>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</si>
  <si>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</si>
  <si>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</si>
  <si>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</si>
  <si>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</si>
  <si>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</si>
  <si>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</si>
  <si>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</si>
  <si>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</si>
  <si>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</si>
  <si>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</si>
  <si>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</si>
  <si>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</si>
  <si>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</si>
  <si>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</si>
  <si>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</si>
  <si>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</si>
  <si>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</si>
  <si>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</si>
  <si>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</si>
  <si>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</si>
  <si>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</si>
  <si>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</si>
  <si>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</si>
  <si>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</si>
  <si>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</si>
  <si>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</si>
  <si>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</si>
  <si>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</si>
  <si>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</si>
  <si>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</si>
  <si>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</si>
  <si>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</si>
  <si>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</si>
  <si>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</si>
  <si>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</si>
  <si>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</si>
  <si>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</si>
  <si>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</si>
  <si>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</si>
  <si>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</si>
  <si>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</si>
  <si>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</si>
  <si>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</si>
  <si>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</si>
  <si>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</si>
  <si>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</si>
  <si>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</si>
  <si>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</si>
  <si>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</si>
  <si>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</si>
  <si>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</si>
  <si>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</si>
  <si>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</si>
  <si>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</si>
  <si>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</si>
  <si>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</si>
  <si>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</si>
  <si>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</si>
  <si>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</si>
  <si>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</si>
  <si>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</si>
  <si>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</si>
  <si>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</si>
  <si>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</si>
  <si>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</si>
  <si>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</si>
  <si>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</si>
  <si>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</si>
  <si>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</si>
  <si>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</si>
  <si>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</si>
  <si>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</si>
  <si>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</si>
  <si>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</si>
  <si>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</si>
  <si>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</si>
  <si>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</si>
  <si>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</si>
  <si>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</si>
  <si>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</si>
  <si>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</si>
  <si>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</si>
  <si>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</si>
  <si>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</si>
  <si>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</si>
  <si>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</si>
  <si>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</si>
  <si>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</si>
  <si>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</si>
  <si>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</si>
  <si>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</si>
  <si>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</si>
  <si>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</si>
  <si>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</si>
  <si>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</si>
  <si>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</si>
  <si>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</si>
  <si>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</si>
  <si>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</si>
  <si>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</si>
  <si>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</si>
  <si>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</si>
  <si>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</si>
  <si>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</si>
  <si>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</si>
  <si>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</si>
  <si>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</si>
  <si>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</si>
  <si>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</si>
  <si>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</si>
  <si>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</si>
  <si>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</si>
  <si>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</si>
  <si>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</si>
  <si>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</si>
  <si>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</si>
  <si>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</si>
  <si>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</si>
  <si>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</si>
  <si>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</si>
  <si>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</si>
  <si>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</si>
  <si>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</si>
  <si>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</si>
  <si>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</si>
  <si>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</si>
  <si>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</si>
  <si>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</si>
  <si>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</si>
  <si>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</si>
  <si>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</si>
  <si>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</si>
  <si>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</si>
  <si>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</si>
  <si>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</si>
  <si>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</si>
  <si>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</si>
  <si>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</si>
  <si>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</si>
  <si>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</si>
  <si>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</si>
  <si>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</si>
  <si>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</si>
  <si>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</si>
  <si>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</si>
  <si>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</si>
  <si>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</si>
  <si>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</si>
  <si>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</si>
  <si>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</si>
  <si>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</si>
  <si>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</si>
  <si>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</si>
  <si>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</si>
  <si>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</si>
  <si>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</si>
  <si>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</si>
  <si>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</si>
  <si>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</si>
  <si>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</si>
  <si>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</si>
  <si>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</si>
  <si>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</si>
  <si>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</si>
  <si>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</si>
  <si>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</si>
  <si>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</si>
  <si>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</si>
  <si>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</si>
  <si>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</si>
  <si>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</si>
  <si>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</si>
  <si>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</si>
  <si>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</si>
  <si>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</si>
  <si>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</si>
  <si>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</si>
  <si>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</si>
  <si>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</si>
  <si>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</si>
  <si>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</si>
  <si>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</si>
  <si>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</si>
  <si>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</si>
  <si>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</si>
  <si>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</si>
  <si>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</si>
  <si>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</si>
  <si>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</si>
  <si>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</si>
  <si>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</si>
  <si>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</si>
  <si>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</si>
  <si>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</si>
  <si>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</si>
  <si>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</si>
  <si>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</si>
  <si>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</si>
  <si>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</si>
  <si>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</si>
  <si>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</si>
  <si>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</si>
  <si>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</si>
  <si>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</si>
  <si>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</si>
  <si>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</si>
  <si>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</si>
  <si>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</si>
  <si>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</si>
  <si>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</si>
  <si>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</si>
  <si>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</si>
  <si>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</si>
  <si>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</si>
  <si>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</si>
  <si>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</si>
  <si>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</si>
  <si>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</si>
  <si>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</si>
  <si>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</si>
  <si>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</si>
  <si>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</si>
  <si>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</si>
  <si>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</si>
  <si>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</si>
  <si>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</si>
  <si>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</si>
  <si>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</si>
  <si>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</si>
  <si>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</si>
  <si>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</si>
  <si>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</si>
  <si>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</si>
  <si>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</si>
  <si>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</si>
  <si>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</si>
  <si>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</si>
  <si>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</si>
  <si>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</si>
  <si>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</si>
  <si>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</si>
  <si>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</si>
  <si>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</si>
  <si>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</si>
  <si>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</si>
  <si>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</si>
  <si>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</si>
  <si>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</si>
  <si>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</si>
  <si>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</si>
  <si>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</si>
  <si>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</si>
  <si>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</si>
  <si>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</si>
  <si>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</si>
  <si>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</si>
  <si>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</si>
  <si>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</si>
  <si>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</si>
  <si>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</si>
  <si>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</si>
  <si>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</si>
  <si>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</si>
  <si>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</si>
  <si>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</si>
  <si>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</si>
  <si>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</si>
  <si>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</si>
  <si>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</si>
  <si>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</si>
  <si>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</si>
  <si>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</si>
  <si>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</si>
  <si>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</si>
  <si>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</si>
  <si>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</si>
  <si>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</si>
  <si>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</si>
  <si>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</si>
  <si>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</si>
  <si>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</si>
  <si>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</si>
  <si>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</si>
  <si>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</si>
  <si>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</si>
  <si>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</si>
  <si>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</si>
  <si>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</si>
  <si>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</si>
  <si>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</si>
  <si>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</si>
  <si>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</si>
  <si>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</si>
  <si>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</si>
  <si>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</si>
  <si>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</si>
  <si>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</si>
  <si>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</si>
  <si>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</si>
  <si>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</si>
  <si>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</si>
  <si>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</si>
  <si>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</si>
  <si>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</si>
  <si>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</si>
  <si>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</si>
  <si>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</si>
  <si>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</si>
  <si>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</si>
  <si>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</si>
  <si>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</si>
  <si>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</si>
  <si>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</si>
  <si>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</si>
  <si>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</si>
  <si>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</si>
  <si>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</si>
  <si>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</si>
  <si>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</si>
  <si>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</si>
  <si>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</si>
  <si>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</si>
  <si>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</si>
  <si>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</si>
  <si>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</si>
  <si>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</si>
  <si>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</si>
  <si>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</si>
  <si>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</si>
  <si>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</si>
  <si>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</si>
  <si>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</si>
  <si>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</si>
  <si>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</si>
  <si>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</si>
  <si>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</si>
  <si>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</si>
  <si>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</si>
  <si>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</si>
  <si>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</si>
  <si>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</si>
  <si>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</si>
  <si>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</si>
  <si>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</si>
  <si>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</si>
  <si>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</si>
  <si>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</si>
  <si>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</si>
  <si>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</si>
  <si>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</si>
  <si>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</si>
  <si>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</si>
  <si>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</si>
  <si>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</si>
  <si>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</si>
  <si>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</si>
  <si>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</si>
  <si>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</si>
  <si>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</si>
  <si>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</si>
  <si>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</si>
  <si>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</si>
  <si>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</si>
  <si>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</si>
  <si>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</si>
  <si>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</si>
  <si>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</si>
  <si>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</si>
  <si>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</si>
  <si>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</si>
  <si>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</si>
  <si>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</si>
  <si>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</si>
  <si>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</si>
  <si>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</si>
  <si>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</si>
  <si>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</si>
  <si>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</si>
  <si>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</si>
  <si>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</si>
  <si>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</si>
  <si>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</si>
  <si>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</si>
  <si>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</si>
  <si>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</si>
  <si>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</si>
  <si>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</si>
  <si>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</si>
  <si>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</si>
  <si>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</si>
  <si>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</si>
  <si>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</si>
  <si>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</si>
  <si>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</si>
  <si>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</si>
  <si>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</si>
  <si>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</si>
  <si>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</si>
  <si>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</si>
  <si>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</si>
  <si>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</si>
  <si>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</si>
  <si>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</si>
  <si>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</si>
  <si>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</si>
  <si>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</si>
  <si>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</si>
  <si>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</si>
  <si>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</si>
  <si>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</si>
  <si>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</si>
  <si>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</si>
  <si>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</si>
  <si>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</si>
  <si>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</si>
  <si>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</si>
  <si>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</si>
  <si>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</si>
  <si>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</si>
  <si>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</si>
  <si>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</si>
  <si>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</si>
  <si>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</si>
  <si>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</si>
  <si>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</si>
  <si>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</si>
  <si>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</si>
  <si>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</si>
  <si>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</si>
  <si>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</si>
  <si>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</si>
  <si>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</si>
  <si>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</si>
  <si>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</si>
  <si>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</si>
  <si>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</si>
  <si>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</si>
  <si>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</si>
  <si>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</si>
  <si>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</si>
  <si>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</si>
  <si>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</si>
  <si>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</si>
  <si>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</si>
  <si>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</si>
  <si>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</si>
  <si>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</si>
  <si>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</si>
  <si>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</si>
  <si>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</si>
  <si>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</si>
  <si>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</si>
  <si>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</si>
  <si>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</si>
  <si>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</si>
  <si>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</si>
  <si>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</si>
  <si>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</si>
  <si>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</si>
  <si>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</si>
  <si>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</si>
  <si>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</si>
  <si>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</si>
  <si>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</si>
  <si>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</si>
  <si>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</si>
  <si>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</si>
  <si>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</si>
  <si>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</si>
  <si>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</si>
  <si>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</si>
  <si>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</si>
  <si>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</si>
  <si>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</si>
  <si>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</si>
  <si>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</si>
  <si>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</si>
  <si>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</si>
  <si>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</si>
  <si>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</si>
  <si>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</si>
  <si>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</si>
  <si>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</si>
  <si>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</si>
  <si>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</si>
  <si>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</si>
  <si>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</si>
  <si>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</si>
  <si>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</si>
  <si>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</si>
  <si>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</si>
  <si>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</si>
  <si>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</si>
  <si>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</si>
  <si>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</si>
  <si>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</si>
  <si>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</si>
  <si>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</si>
  <si>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</si>
  <si>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</si>
  <si>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</si>
  <si>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</si>
  <si>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</si>
  <si>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</si>
  <si>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</si>
  <si>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</si>
  <si>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</si>
  <si>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</si>
  <si>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</si>
  <si>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</si>
  <si>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</si>
  <si>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</si>
  <si>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</si>
  <si>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</si>
  <si>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</si>
  <si>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</si>
  <si>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</si>
  <si>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</si>
  <si>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</si>
  <si>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</si>
  <si>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</si>
  <si>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</si>
  <si>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</si>
  <si>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</si>
  <si>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</si>
  <si>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</si>
  <si>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</si>
  <si>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</si>
  <si>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</si>
  <si>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</si>
  <si>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</si>
  <si>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</si>
  <si>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</si>
  <si>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</si>
  <si>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</si>
  <si>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</si>
  <si>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</si>
  <si>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</si>
  <si>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</si>
  <si>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</si>
  <si>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</si>
  <si>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</si>
  <si>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</si>
  <si>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</si>
  <si>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</si>
  <si>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</si>
  <si>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</si>
  <si>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</si>
  <si>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</si>
  <si>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</si>
  <si>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</si>
  <si>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</si>
  <si>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</si>
  <si>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</si>
  <si>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</si>
  <si>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</si>
  <si>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</si>
  <si>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</si>
  <si>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</si>
  <si>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</si>
  <si>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</si>
  <si>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</si>
  <si>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</si>
  <si>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</si>
  <si>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</si>
  <si>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</si>
  <si>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</si>
  <si>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</si>
  <si>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</si>
  <si>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</si>
  <si>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</si>
  <si>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</si>
  <si>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</si>
  <si>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</si>
  <si>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</si>
  <si>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</si>
  <si>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</si>
  <si>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</si>
  <si>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</si>
  <si>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</si>
  <si>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</si>
  <si>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</si>
  <si>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</si>
  <si>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</si>
  <si>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</si>
  <si>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</si>
  <si>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</si>
  <si>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</si>
  <si>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</si>
  <si>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</si>
  <si>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</si>
  <si>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</si>
  <si>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</si>
  <si>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</si>
  <si>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</si>
  <si>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</si>
  <si>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</si>
  <si>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</si>
  <si>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</si>
  <si>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</si>
  <si>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</si>
  <si>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</si>
  <si>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</si>
  <si>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</si>
  <si>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</si>
  <si>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</si>
  <si>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</si>
  <si>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</si>
  <si>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</si>
  <si>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</si>
  <si>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</si>
  <si>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</si>
  <si>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</si>
  <si>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</si>
  <si>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</si>
  <si>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</si>
  <si>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</si>
  <si>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</si>
  <si>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</si>
  <si>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</si>
  <si>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</si>
  <si>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</si>
  <si>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</si>
  <si>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</si>
  <si>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</si>
  <si>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</si>
  <si>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</si>
  <si>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</si>
  <si>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</si>
  <si>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</si>
  <si>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</si>
  <si>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</si>
  <si>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</si>
  <si>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</si>
  <si>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</si>
  <si>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</si>
  <si>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</si>
  <si>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</si>
  <si>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</si>
  <si>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</si>
  <si>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</si>
  <si>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</si>
  <si>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</si>
  <si>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</si>
  <si>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</si>
  <si>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</si>
  <si>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</si>
  <si>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</si>
  <si>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</si>
  <si>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</si>
  <si>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</si>
  <si>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</si>
  <si>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</si>
  <si>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</si>
  <si>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</si>
  <si>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</si>
  <si>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</si>
  <si>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</si>
  <si>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</si>
  <si>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</si>
  <si>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</si>
  <si>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</si>
  <si>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</si>
  <si>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</si>
  <si>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</si>
  <si>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</si>
  <si>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</si>
  <si>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</si>
  <si>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</si>
  <si>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</si>
  <si>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</si>
  <si>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</si>
  <si>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</si>
  <si>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</si>
  <si>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</si>
  <si>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</si>
  <si>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</si>
  <si>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</si>
  <si>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</si>
  <si>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</si>
  <si>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</si>
  <si>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</si>
  <si>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</si>
  <si>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</si>
  <si>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</si>
  <si>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</si>
  <si>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</si>
  <si>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</si>
  <si>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</si>
  <si>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</si>
  <si>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</si>
  <si>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</si>
  <si>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</si>
  <si>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</si>
  <si>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</si>
  <si>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</si>
  <si>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</si>
  <si>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</si>
  <si>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</si>
  <si>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</si>
  <si>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</si>
  <si>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</si>
  <si>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</si>
  <si>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</si>
  <si>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</si>
  <si>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</si>
  <si>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</si>
  <si>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</si>
  <si>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</si>
  <si>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</si>
  <si>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</si>
  <si>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</si>
  <si>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</si>
  <si>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</si>
  <si>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</si>
  <si>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</si>
  <si>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</si>
  <si>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</si>
  <si>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</si>
  <si>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</si>
  <si>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</si>
  <si>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</si>
  <si>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</si>
  <si>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</si>
  <si>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</si>
  <si>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</si>
  <si>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</si>
  <si>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</si>
  <si>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</si>
  <si>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</si>
  <si>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</si>
  <si>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</si>
  <si>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</si>
  <si>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</si>
  <si>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</si>
  <si>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</si>
  <si>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</si>
  <si>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</si>
  <si>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</si>
  <si>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</si>
  <si>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</si>
  <si>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</si>
  <si>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</si>
  <si>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</si>
  <si>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</si>
  <si>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</si>
  <si>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</si>
  <si>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</si>
  <si>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</si>
  <si>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</si>
  <si>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</si>
  <si>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</si>
  <si>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</si>
  <si>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</si>
  <si>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</si>
  <si>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</si>
  <si>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</si>
  <si>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</si>
  <si>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</si>
  <si>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</si>
  <si>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</si>
  <si>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</si>
  <si>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</si>
  <si>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</si>
  <si>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</si>
  <si>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</si>
  <si>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</si>
  <si>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</si>
  <si>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</si>
  <si>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</si>
  <si>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</si>
  <si>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</si>
  <si>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</si>
  <si>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</si>
  <si>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</si>
  <si>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</si>
  <si>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</si>
  <si>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</si>
  <si>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</si>
  <si>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</si>
  <si>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</si>
  <si>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</si>
  <si>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</si>
  <si>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</si>
  <si>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</si>
  <si>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</si>
  <si>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</si>
  <si>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</si>
  <si>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</si>
  <si>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</si>
  <si>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</si>
  <si>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</si>
  <si>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</si>
  <si>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</si>
  <si>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</si>
  <si>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</si>
  <si>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</si>
  <si>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</si>
  <si>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</si>
  <si>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</si>
  <si>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</si>
  <si>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</si>
  <si>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</si>
  <si>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</si>
  <si>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</si>
  <si>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</si>
  <si>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</si>
  <si>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</si>
  <si>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</si>
  <si>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</si>
  <si>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</si>
  <si>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</si>
  <si>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</si>
  <si>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</si>
  <si>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</si>
  <si>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</si>
  <si>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</si>
  <si>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</si>
  <si>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</si>
  <si>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</si>
  <si>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</si>
  <si>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</si>
  <si>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</si>
  <si>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</si>
  <si>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</si>
  <si>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</si>
  <si>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</si>
  <si>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</si>
  <si>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</si>
  <si>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</si>
  <si>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</si>
  <si>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</si>
  <si>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</si>
  <si>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</si>
  <si>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</si>
  <si>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</si>
  <si>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</si>
  <si>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</si>
  <si>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</si>
  <si>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</si>
  <si>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</si>
  <si>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</si>
  <si>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</si>
  <si>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</si>
  <si>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</si>
  <si>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</si>
  <si>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</si>
  <si>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</si>
  <si>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</si>
  <si>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</si>
  <si>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</si>
  <si>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</si>
  <si>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</si>
  <si>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</si>
  <si>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</si>
  <si>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</si>
  <si>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</si>
  <si>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</si>
  <si>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</si>
  <si>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</si>
  <si>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</si>
  <si>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</si>
  <si>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</si>
  <si>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</si>
  <si>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</si>
  <si>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</si>
  <si>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</si>
  <si>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</si>
  <si>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</si>
  <si>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</si>
  <si>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</si>
  <si>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</si>
  <si>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</si>
  <si>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</si>
  <si>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</si>
  <si>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</si>
  <si>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</si>
  <si>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</si>
  <si>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</si>
  <si>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</si>
  <si>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</si>
  <si>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</si>
  <si>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</si>
  <si>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</si>
  <si>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</si>
  <si>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</si>
  <si>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</si>
  <si>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</si>
  <si>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</si>
  <si>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</si>
  <si>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</si>
  <si>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</si>
  <si>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</si>
  <si>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</si>
  <si>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</si>
  <si>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</si>
  <si>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</si>
  <si>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</si>
  <si>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</si>
  <si>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</si>
  <si>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</si>
  <si>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</si>
  <si>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</si>
  <si>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</si>
  <si>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</si>
  <si>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</si>
  <si>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</si>
  <si>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</si>
  <si>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</si>
  <si>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</si>
  <si>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</si>
  <si>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</si>
  <si>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</si>
  <si>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</si>
  <si>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</si>
  <si>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</si>
  <si>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</si>
  <si>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</si>
  <si>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</si>
  <si>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</si>
  <si>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</si>
  <si>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</si>
  <si>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</si>
  <si>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</si>
  <si>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</si>
  <si>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</si>
  <si>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</si>
  <si>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</si>
  <si>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</si>
  <si>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</si>
  <si>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</si>
  <si>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</si>
  <si>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</si>
  <si>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</si>
  <si>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</si>
  <si>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</si>
  <si>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</si>
  <si>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</si>
  <si>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</si>
  <si>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</si>
  <si>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</si>
  <si>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</si>
  <si>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</si>
  <si>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</si>
  <si>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</si>
  <si>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</si>
  <si>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</si>
  <si>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</si>
  <si>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</si>
  <si>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</si>
  <si>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</si>
  <si>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</si>
  <si>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</si>
  <si>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</si>
  <si>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</si>
  <si>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</si>
  <si>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</si>
  <si>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</si>
  <si>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</si>
  <si>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</si>
  <si>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</si>
  <si>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</si>
  <si>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</si>
  <si>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</si>
  <si>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</si>
  <si>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</si>
  <si>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</si>
  <si>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</si>
  <si>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</si>
  <si>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</si>
  <si>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</si>
  <si>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</si>
  <si>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</si>
  <si>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</si>
  <si>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</si>
  <si>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</si>
  <si>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</si>
  <si>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</si>
  <si>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</si>
  <si>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</si>
  <si>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</si>
  <si>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</si>
  <si>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</si>
  <si>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</si>
  <si>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</si>
  <si>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</si>
  <si>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</si>
  <si>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</si>
  <si>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</si>
  <si>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</si>
  <si>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</si>
  <si>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</si>
  <si>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</si>
  <si>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</si>
  <si>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</si>
  <si>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</si>
  <si>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</si>
  <si>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</si>
  <si>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</si>
  <si>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</si>
  <si>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</si>
  <si>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</si>
  <si>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</si>
  <si>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</si>
  <si>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</si>
  <si>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</si>
  <si>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</si>
  <si>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</si>
  <si>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</si>
  <si>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</si>
  <si>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</si>
  <si>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</si>
  <si>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</si>
  <si>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</si>
  <si>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</si>
  <si>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</si>
  <si>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</si>
  <si>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</si>
  <si>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</si>
  <si>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</si>
  <si>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</si>
  <si>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</si>
  <si>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</si>
  <si>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</si>
  <si>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</si>
  <si>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</si>
  <si>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</si>
  <si>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</si>
  <si>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</si>
  <si>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</si>
  <si>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</si>
  <si>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</si>
  <si>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</si>
  <si>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</si>
  <si>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</si>
  <si>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</si>
  <si>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</si>
  <si>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</si>
  <si>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</si>
  <si>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</si>
  <si>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</si>
  <si>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</si>
  <si>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</si>
  <si>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</si>
  <si>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</si>
  <si>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</si>
  <si>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</si>
  <si>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</si>
  <si>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</si>
  <si>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</si>
  <si>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</si>
  <si>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</si>
  <si>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</si>
  <si>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</si>
  <si>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</si>
  <si>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</si>
  <si>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</si>
  <si>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</si>
  <si>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</si>
  <si>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</si>
  <si>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</si>
  <si>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</si>
  <si>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</si>
  <si>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</si>
  <si>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</si>
  <si>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</si>
  <si>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</si>
  <si>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</si>
  <si>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</si>
  <si>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</si>
  <si>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</si>
  <si>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</si>
  <si>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</si>
  <si>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</si>
  <si>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</si>
  <si>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</si>
  <si>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</si>
  <si>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</si>
  <si>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</si>
  <si>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</si>
  <si>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</si>
  <si>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</si>
  <si>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</si>
  <si>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</si>
  <si>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</si>
  <si>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</si>
  <si>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</si>
  <si>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</si>
  <si>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</si>
  <si>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</si>
  <si>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</si>
  <si>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</si>
  <si>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</si>
  <si>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</si>
  <si>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</si>
  <si>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</si>
  <si>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</si>
  <si>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</si>
  <si>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</si>
  <si>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</si>
  <si>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</si>
  <si>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</si>
  <si>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</si>
  <si>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</si>
  <si>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</si>
  <si>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</si>
  <si>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</si>
  <si>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</si>
  <si>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</si>
  <si>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</si>
  <si>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</si>
  <si>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</si>
  <si>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</si>
  <si>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</si>
  <si>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</si>
  <si>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</si>
  <si>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</si>
  <si>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</si>
  <si>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</si>
  <si>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</si>
  <si>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</si>
  <si>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</si>
  <si>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</si>
  <si>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</si>
  <si>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</si>
  <si>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</si>
  <si>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</si>
  <si>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</si>
  <si>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</si>
  <si>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</si>
  <si>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</si>
  <si>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</si>
  <si>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</si>
  <si>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</si>
  <si>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</si>
  <si>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</si>
  <si>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</si>
  <si>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</si>
  <si>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</si>
  <si>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</si>
  <si>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</si>
  <si>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</si>
  <si>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</si>
  <si>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</si>
  <si>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</si>
  <si>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</si>
  <si>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</si>
  <si>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</si>
  <si>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</si>
  <si>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</si>
  <si>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</si>
  <si>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</si>
  <si>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</si>
  <si>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</si>
  <si>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</si>
  <si>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</si>
  <si>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</si>
  <si>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</si>
  <si>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</si>
  <si>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</si>
  <si>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</si>
  <si>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</si>
  <si>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</si>
  <si>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</si>
  <si>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</si>
  <si>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</si>
  <si>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</si>
  <si>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</si>
  <si>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</si>
  <si>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</si>
  <si>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</si>
  <si>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</si>
  <si>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</si>
  <si>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</si>
  <si>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</si>
  <si>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</si>
  <si>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</si>
  <si>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</si>
  <si>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</si>
  <si>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</si>
  <si>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</si>
  <si>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</si>
  <si>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</si>
  <si>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</si>
  <si>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</si>
  <si>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</si>
  <si>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</si>
  <si>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</si>
  <si>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</si>
  <si>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</si>
  <si>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</si>
  <si>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</si>
  <si>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</si>
  <si>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</si>
  <si>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</si>
  <si>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</si>
  <si>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</si>
  <si>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</si>
  <si>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</si>
  <si>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</si>
  <si>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</si>
  <si>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</si>
  <si>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</si>
  <si>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</si>
  <si>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</si>
  <si>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</si>
  <si>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</si>
  <si>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</si>
  <si>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</si>
  <si>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</si>
  <si>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</si>
  <si>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</si>
  <si>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</si>
  <si>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</si>
  <si>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</si>
  <si>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</si>
  <si>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</si>
  <si>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</si>
  <si>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</si>
  <si>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</si>
  <si>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</si>
  <si>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</si>
  <si>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</si>
  <si>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</si>
  <si>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</si>
  <si>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</si>
  <si>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</si>
  <si>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</si>
  <si>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</si>
  <si>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</si>
  <si>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</si>
  <si>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</si>
  <si>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</si>
  <si>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</si>
  <si>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</si>
  <si>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</si>
  <si>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</si>
  <si>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</si>
  <si>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</si>
  <si>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</si>
  <si>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</si>
  <si>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</si>
  <si>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</si>
  <si>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</si>
  <si>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</si>
  <si>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</si>
  <si>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</si>
  <si>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</si>
  <si>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</si>
  <si>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</si>
  <si>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</si>
  <si>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</si>
  <si>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</si>
  <si>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</si>
  <si>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</si>
  <si>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</si>
  <si>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</si>
  <si>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</si>
  <si>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</si>
  <si>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</si>
  <si>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</si>
  <si>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</si>
  <si>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</si>
  <si>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</si>
  <si>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</si>
  <si>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</si>
  <si>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</si>
  <si>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</si>
  <si>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</si>
  <si>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</si>
  <si>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</si>
  <si>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</si>
  <si>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</si>
  <si>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</si>
  <si>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</si>
  <si>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</si>
  <si>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</si>
  <si>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</si>
  <si>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</si>
  <si>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</si>
  <si>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</si>
  <si>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</si>
  <si>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</si>
  <si>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</si>
  <si>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</si>
  <si>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</si>
  <si>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</si>
  <si>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</si>
  <si>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</si>
  <si>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</si>
  <si>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</si>
  <si>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</si>
  <si>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</si>
  <si>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</si>
  <si>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</si>
  <si>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</si>
  <si>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</si>
  <si>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</si>
  <si>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</si>
  <si>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</si>
  <si>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</si>
  <si>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</si>
  <si>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</si>
  <si>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</si>
  <si>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</si>
  <si>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</si>
  <si>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</si>
  <si>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</si>
  <si>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</si>
  <si>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</si>
  <si>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</si>
  <si>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</si>
  <si>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</si>
  <si>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</si>
  <si>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</si>
  <si>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</si>
  <si>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</si>
  <si>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</si>
  <si>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</si>
  <si>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</si>
  <si>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</si>
  <si>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</si>
  <si>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</si>
  <si>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</si>
  <si>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</si>
  <si>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</si>
  <si>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</si>
  <si>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</si>
  <si>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</si>
  <si>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</si>
  <si>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</si>
  <si>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</si>
  <si>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</si>
  <si>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</si>
  <si>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</si>
  <si>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</si>
  <si>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</si>
  <si>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</si>
  <si>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</si>
  <si>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</si>
  <si>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</si>
  <si>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</si>
  <si>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</si>
  <si>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</si>
  <si>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</si>
  <si>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</si>
  <si>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</si>
  <si>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</si>
  <si>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</si>
  <si>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</si>
  <si>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</si>
  <si>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</si>
  <si>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</si>
  <si>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</si>
  <si>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</si>
  <si>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</si>
  <si>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</si>
  <si>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</si>
  <si>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</si>
  <si>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</si>
  <si>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</si>
  <si>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</si>
  <si>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</si>
  <si>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</si>
  <si>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</si>
  <si>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</si>
  <si>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</si>
  <si>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</si>
  <si>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</si>
  <si>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</si>
  <si>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</si>
  <si>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</si>
  <si>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</si>
  <si>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</si>
  <si>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</si>
  <si>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</si>
  <si>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</si>
  <si>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</si>
  <si>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</si>
  <si>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</si>
  <si>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</si>
  <si>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</si>
  <si>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</si>
  <si>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</si>
  <si>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</si>
  <si>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</si>
  <si>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</si>
  <si>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</si>
  <si>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</si>
  <si>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</si>
  <si>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</si>
  <si>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</si>
  <si>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</si>
  <si>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</si>
  <si>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</si>
  <si>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</si>
  <si>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</si>
  <si>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</si>
  <si>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</si>
  <si>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</si>
  <si>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</si>
  <si>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</si>
  <si>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</si>
  <si>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</si>
  <si>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</si>
  <si>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</si>
  <si>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</si>
  <si>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</si>
  <si>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</si>
  <si>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</si>
  <si>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</si>
  <si>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</si>
  <si>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</si>
  <si>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</si>
  <si>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</si>
  <si>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</si>
  <si>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</si>
  <si>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</si>
  <si>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</si>
  <si>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</si>
  <si>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</si>
  <si>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</si>
  <si>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</si>
  <si>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</si>
  <si>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</si>
  <si>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</si>
  <si>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</si>
  <si>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</si>
  <si>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</si>
  <si>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</si>
  <si>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</si>
  <si>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</si>
  <si>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</si>
  <si>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</si>
  <si>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</si>
  <si>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</si>
  <si>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</si>
  <si>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</si>
  <si>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</si>
  <si>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</si>
  <si>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</si>
  <si>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</si>
  <si>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</si>
  <si>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</si>
  <si>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</si>
  <si>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</si>
  <si>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</si>
  <si>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</si>
  <si>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</si>
  <si>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</si>
  <si>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</si>
  <si>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</si>
  <si>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</si>
  <si>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</si>
  <si>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</si>
  <si>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</si>
  <si>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</si>
  <si>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</si>
  <si>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</si>
  <si>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</si>
  <si>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</si>
  <si>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</si>
  <si>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</si>
  <si>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</si>
  <si>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</si>
  <si>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</si>
  <si>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</si>
  <si>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</si>
  <si>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</si>
  <si>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</si>
  <si>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</si>
  <si>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</si>
  <si>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</si>
  <si>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</si>
  <si>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</si>
  <si>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</si>
  <si>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</si>
  <si>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</si>
  <si>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</si>
  <si>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</si>
  <si>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</si>
  <si>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</si>
  <si>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</si>
  <si>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</si>
  <si>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</si>
  <si>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</si>
  <si>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</si>
  <si>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</si>
  <si>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</si>
  <si>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</si>
  <si>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</si>
  <si>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</si>
  <si>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</si>
  <si>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</si>
  <si>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</si>
  <si>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</si>
  <si>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</si>
  <si>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</si>
  <si>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</si>
  <si>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</si>
  <si>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</si>
  <si>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</si>
  <si>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</si>
  <si>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</si>
  <si>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</si>
  <si>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</si>
  <si>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</si>
  <si>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</si>
  <si>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</si>
  <si>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</si>
  <si>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</si>
  <si>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</si>
  <si>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</si>
  <si>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</si>
  <si>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</si>
  <si>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</si>
  <si>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</si>
  <si>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</si>
  <si>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</si>
  <si>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</si>
  <si>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</si>
  <si>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</si>
  <si>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</si>
  <si>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</si>
  <si>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</si>
  <si>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</si>
  <si>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</si>
  <si>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</si>
  <si>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</si>
  <si>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</si>
  <si>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</si>
  <si>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</si>
  <si>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</si>
  <si>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</si>
  <si>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</si>
  <si>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</si>
  <si>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</si>
  <si>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</si>
  <si>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</si>
  <si>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</si>
  <si>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</si>
  <si>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</si>
  <si>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</si>
  <si>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</si>
  <si>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</si>
  <si>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</si>
  <si>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</si>
  <si>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</si>
  <si>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</si>
  <si>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</si>
  <si>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</si>
  <si>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</si>
  <si>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</si>
  <si>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</si>
  <si>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</si>
  <si>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</si>
  <si>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</si>
  <si>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</si>
  <si>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</si>
  <si>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</si>
  <si>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</si>
  <si>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</si>
  <si>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</si>
  <si>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</si>
  <si>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</si>
  <si>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</si>
  <si>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</si>
  <si>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</si>
  <si>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</si>
  <si>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</si>
  <si>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</si>
  <si>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</si>
  <si>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</si>
  <si>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</si>
  <si>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</si>
  <si>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</si>
  <si>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</si>
  <si>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</si>
  <si>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</si>
  <si>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</si>
  <si>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</si>
  <si>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</si>
  <si>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</si>
  <si>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</si>
  <si>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</si>
  <si>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</si>
  <si>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</si>
  <si>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</si>
  <si>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</si>
  <si>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</si>
  <si>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</si>
  <si>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</si>
  <si>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</si>
  <si>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</si>
  <si>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</si>
  <si>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</si>
  <si>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</si>
  <si>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</si>
  <si>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</si>
  <si>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</si>
  <si>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</si>
  <si>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</si>
  <si>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</si>
  <si>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</si>
  <si>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</si>
  <si>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</si>
  <si>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</si>
  <si>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</si>
  <si>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</si>
  <si>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</si>
  <si>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</si>
  <si>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</si>
  <si>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</si>
  <si>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</si>
  <si>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</si>
  <si>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</si>
  <si>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</si>
  <si>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</si>
  <si>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</si>
  <si>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</si>
  <si>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</si>
  <si>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</si>
  <si>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</si>
  <si>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</si>
  <si>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</si>
  <si>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</si>
  <si>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</si>
  <si>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</si>
  <si>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</si>
  <si>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</si>
  <si>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</si>
  <si>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</si>
  <si>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</si>
  <si>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</si>
  <si>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</si>
  <si>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</si>
  <si>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</si>
  <si>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</si>
  <si>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</si>
  <si>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</si>
  <si>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</si>
  <si>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</si>
  <si>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</si>
  <si>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</si>
  <si>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</si>
  <si>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</si>
  <si>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</si>
  <si>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</si>
  <si>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</si>
  <si>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</si>
  <si>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</si>
  <si>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</si>
  <si>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</si>
  <si>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</si>
  <si>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</si>
  <si>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</si>
  <si>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</si>
  <si>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</si>
  <si>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</si>
  <si>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</si>
  <si>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</si>
  <si>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</si>
  <si>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</si>
  <si>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</si>
  <si>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</si>
  <si>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</si>
  <si>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</si>
  <si>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</si>
  <si>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</si>
  <si>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</si>
  <si>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</si>
  <si>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</si>
  <si>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</si>
  <si>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</si>
  <si>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</si>
  <si>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</si>
  <si>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</si>
  <si>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</si>
  <si>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</si>
  <si>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</si>
  <si>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</si>
  <si>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</si>
  <si>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</si>
  <si>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</si>
  <si>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</si>
  <si>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</si>
  <si>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</si>
  <si>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</si>
  <si>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</si>
  <si>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</si>
  <si>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</si>
  <si>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</si>
  <si>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</si>
  <si>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</si>
  <si>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</si>
  <si>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</si>
  <si>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</si>
  <si>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</si>
  <si>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</si>
  <si>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</si>
  <si>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</si>
  <si>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</si>
  <si>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</si>
  <si>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</si>
  <si>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</si>
  <si>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</si>
  <si>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</si>
  <si>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</si>
  <si>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</si>
  <si>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</si>
  <si>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</si>
  <si>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</si>
  <si>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</si>
  <si>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</si>
  <si>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</si>
  <si>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</si>
  <si>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</si>
  <si>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</si>
  <si>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</si>
  <si>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</si>
  <si>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</si>
  <si>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</si>
  <si>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</si>
  <si>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</si>
  <si>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</si>
  <si>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</si>
  <si>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</si>
  <si>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</si>
  <si>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</si>
  <si>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</si>
  <si>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</si>
  <si>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</si>
  <si>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</si>
  <si>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</si>
  <si>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</si>
  <si>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</si>
  <si>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</si>
  <si>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</si>
  <si>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</si>
  <si>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</si>
  <si>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</si>
  <si>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</si>
  <si>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</si>
  <si>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</si>
  <si>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</si>
  <si>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</si>
  <si>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</si>
  <si>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</si>
  <si>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</si>
  <si>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</si>
  <si>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</si>
  <si>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</si>
  <si>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</si>
  <si>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</si>
  <si>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</si>
  <si>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</si>
  <si>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</si>
  <si>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</si>
  <si>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</si>
  <si>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</si>
  <si>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</si>
  <si>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</si>
  <si>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</si>
  <si>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</si>
  <si>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</si>
  <si>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</si>
  <si>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</si>
  <si>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</si>
  <si>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</si>
  <si>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</si>
  <si>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</si>
  <si>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</si>
  <si>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</si>
  <si>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</si>
  <si>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</si>
  <si>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</si>
  <si>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</si>
  <si>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</si>
  <si>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</si>
  <si>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</si>
  <si>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</si>
  <si>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</si>
  <si>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</si>
  <si>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</si>
  <si>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</si>
  <si>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</si>
  <si>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</si>
  <si>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</si>
  <si>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</si>
  <si>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</si>
  <si>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</si>
  <si>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</si>
  <si>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</si>
  <si>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</si>
  <si>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</si>
  <si>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</si>
  <si>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</si>
  <si>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</si>
  <si>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</si>
  <si>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</si>
  <si>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</si>
  <si>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</si>
  <si>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</si>
  <si>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</si>
  <si>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</si>
  <si>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</si>
  <si>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</si>
  <si>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</si>
  <si>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</si>
  <si>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</si>
  <si>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</si>
  <si>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</si>
  <si>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</si>
  <si>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</si>
  <si>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</si>
  <si>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</si>
  <si>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</si>
  <si>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</si>
  <si>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</si>
  <si>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</si>
  <si>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</si>
  <si>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</si>
  <si>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</si>
  <si>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</si>
  <si>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</si>
  <si>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</si>
  <si>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</si>
  <si>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</si>
  <si>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</si>
  <si>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</si>
  <si>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</si>
  <si>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</si>
  <si>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</si>
  <si>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</si>
  <si>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</si>
  <si>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</si>
  <si>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</si>
  <si>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</si>
  <si>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</si>
  <si>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</si>
  <si>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</si>
  <si>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</si>
  <si>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</si>
  <si>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</si>
  <si>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</si>
  <si>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</si>
  <si>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</si>
  <si>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</si>
  <si>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</si>
  <si>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</si>
  <si>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</si>
  <si>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</si>
  <si>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</si>
  <si>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</si>
  <si>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</si>
  <si>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</si>
  <si>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</si>
  <si>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</si>
  <si>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</si>
  <si>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</si>
  <si>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</si>
  <si>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</si>
  <si>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</si>
  <si>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</si>
  <si>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</si>
  <si>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</si>
  <si>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</si>
  <si>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</si>
  <si>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</si>
  <si>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</si>
  <si>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</si>
  <si>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</si>
  <si>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</si>
  <si>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</si>
  <si>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</si>
  <si>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</si>
  <si>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</si>
  <si>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</si>
  <si>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</si>
  <si>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</si>
  <si>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</si>
  <si>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</si>
  <si>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</si>
  <si>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</si>
  <si>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</si>
  <si>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</si>
  <si>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</si>
  <si>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</si>
  <si>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</si>
  <si>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</si>
  <si>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</si>
  <si>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</si>
  <si>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</si>
  <si>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</si>
  <si>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</si>
  <si>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</si>
  <si>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</si>
  <si>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</si>
  <si>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</si>
  <si>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</si>
  <si>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</si>
  <si>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</si>
  <si>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</si>
  <si>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</si>
  <si>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</si>
  <si>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</si>
  <si>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</si>
  <si>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</si>
  <si>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</si>
  <si>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</si>
  <si>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</si>
  <si>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</si>
  <si>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</si>
  <si>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</si>
  <si>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</si>
  <si>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</si>
  <si>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</si>
  <si>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</si>
  <si>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</si>
  <si>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</si>
  <si>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</si>
  <si>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</si>
  <si>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</si>
  <si>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</si>
  <si>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</si>
  <si>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</si>
  <si>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</si>
  <si>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</si>
  <si>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</si>
  <si>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</si>
  <si>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</si>
  <si>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</si>
  <si>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</si>
  <si>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</si>
  <si>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</si>
  <si>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</si>
  <si>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</si>
  <si>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</si>
  <si>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</si>
  <si>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</si>
  <si>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</si>
  <si>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</si>
  <si>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</si>
  <si>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</si>
  <si>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</si>
  <si>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</si>
  <si>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</si>
  <si>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</si>
  <si>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</si>
  <si>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</si>
  <si>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</si>
  <si>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</si>
  <si>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</si>
  <si>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</si>
  <si>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</si>
  <si>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</si>
  <si>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</si>
  <si>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</si>
  <si>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</si>
  <si>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</si>
  <si>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</si>
  <si>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</si>
  <si>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</si>
  <si>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</si>
  <si>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</si>
  <si>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</si>
  <si>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</si>
  <si>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</si>
  <si>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</si>
  <si>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</si>
  <si>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</si>
  <si>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</si>
  <si>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</si>
  <si>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</si>
  <si>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</si>
  <si>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</si>
  <si>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</si>
  <si>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</si>
  <si>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</si>
  <si>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</si>
  <si>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</si>
  <si>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</si>
  <si>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</si>
  <si>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</si>
  <si>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</si>
  <si>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</si>
  <si>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</si>
  <si>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</si>
  <si>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</si>
  <si>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</si>
  <si>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</si>
  <si>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</si>
  <si>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</si>
  <si>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</si>
  <si>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</si>
  <si>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</si>
  <si>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</si>
  <si>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</si>
  <si>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</si>
  <si>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</si>
  <si>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</si>
  <si>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</si>
  <si>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</si>
  <si>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</si>
  <si>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</si>
  <si>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</si>
  <si>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</si>
  <si>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</si>
  <si>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</si>
  <si>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</si>
  <si>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</si>
  <si>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</si>
  <si>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</si>
  <si>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</si>
  <si>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</si>
  <si>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</si>
  <si>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</si>
  <si>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</si>
  <si>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</si>
  <si>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</si>
  <si>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</si>
  <si>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</si>
  <si>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</si>
  <si>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</si>
  <si>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</si>
  <si>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</si>
  <si>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</si>
  <si>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</si>
  <si>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</si>
  <si>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</si>
  <si>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</si>
  <si>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</si>
  <si>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</si>
  <si>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</si>
  <si>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</si>
  <si>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</si>
  <si>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</si>
  <si>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</si>
  <si>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</si>
  <si>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</si>
  <si>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</si>
  <si>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</si>
  <si>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</si>
  <si>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</si>
  <si>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</si>
  <si>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</si>
  <si>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</si>
  <si>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</si>
  <si>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</si>
  <si>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</si>
  <si>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</si>
  <si>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</si>
  <si>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</si>
  <si>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</si>
  <si>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</si>
  <si>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</si>
  <si>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</si>
  <si>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</si>
  <si>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</si>
  <si>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</si>
  <si>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</si>
  <si>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</si>
  <si>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</si>
  <si>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</si>
  <si>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</si>
  <si>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</si>
  <si>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</si>
  <si>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</si>
  <si>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</si>
  <si>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</si>
  <si>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</si>
  <si>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</si>
  <si>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</si>
  <si>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</si>
  <si>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</si>
  <si>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</si>
  <si>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</si>
  <si>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</si>
  <si>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</si>
  <si>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</si>
  <si>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</si>
  <si>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</si>
  <si>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</si>
  <si>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</si>
  <si>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</si>
  <si>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</si>
  <si>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</si>
  <si>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</si>
  <si>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</si>
  <si>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</si>
  <si>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</si>
  <si>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</si>
  <si>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</si>
  <si>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</si>
  <si>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</si>
  <si>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</si>
  <si>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</si>
  <si>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</si>
  <si>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</si>
  <si>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</si>
  <si>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</si>
  <si>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</si>
  <si>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</si>
  <si>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</si>
  <si>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</si>
  <si>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</si>
  <si>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</si>
  <si>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</si>
  <si>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</si>
  <si>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</si>
  <si>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</si>
  <si>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</si>
  <si>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</si>
  <si>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</si>
  <si>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</si>
  <si>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</si>
  <si>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</si>
  <si>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</si>
  <si>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</si>
  <si>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</si>
  <si>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</si>
  <si>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</si>
  <si>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</si>
  <si>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</si>
  <si>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</si>
  <si>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</si>
  <si>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</si>
  <si>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</si>
  <si>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</si>
  <si>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</si>
  <si>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</si>
  <si>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</si>
  <si>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</si>
  <si>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</si>
  <si>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</si>
  <si>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</si>
  <si>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</si>
  <si>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</si>
  <si>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</si>
  <si>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</si>
  <si>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</si>
  <si>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</si>
  <si>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</si>
  <si>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</si>
  <si>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</si>
  <si>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</si>
  <si>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</si>
  <si>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</si>
  <si>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</si>
  <si>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</si>
  <si>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</si>
  <si>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</si>
  <si>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</si>
  <si>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</si>
  <si>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</si>
  <si>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</si>
  <si>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</si>
  <si>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</si>
  <si>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</si>
  <si>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</si>
  <si>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</si>
  <si>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</si>
  <si>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</si>
  <si>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</si>
  <si>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</si>
  <si>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</si>
  <si>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</si>
  <si>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</si>
  <si>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</si>
  <si>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</si>
  <si>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</si>
  <si>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</si>
  <si>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</si>
  <si>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</si>
  <si>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</si>
  <si>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</si>
  <si>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</si>
  <si>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</si>
  <si>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</si>
  <si>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</si>
  <si>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</si>
  <si>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</si>
  <si>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</si>
  <si>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</si>
  <si>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</si>
  <si>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</si>
  <si>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</si>
  <si>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</si>
  <si>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</si>
  <si>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</si>
  <si>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</si>
  <si>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</si>
  <si>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</si>
  <si>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</si>
  <si>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</si>
  <si>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</si>
  <si>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</si>
  <si>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</si>
  <si>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</si>
  <si>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</si>
  <si>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</si>
  <si>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</si>
  <si>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</si>
  <si>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</si>
  <si>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</si>
  <si>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</si>
  <si>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</si>
  <si>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</si>
  <si>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</si>
  <si>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</si>
  <si>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</si>
  <si>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</si>
  <si>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</si>
  <si>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</si>
  <si>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</si>
  <si>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</si>
  <si>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</si>
  <si>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</si>
  <si>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</si>
  <si>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</si>
  <si>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</si>
  <si>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</si>
  <si>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</si>
  <si>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</si>
  <si>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</si>
  <si>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</si>
  <si>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</si>
  <si>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</si>
  <si>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</si>
  <si>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</si>
  <si>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</si>
  <si>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</si>
  <si>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</si>
  <si>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</si>
  <si>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</si>
  <si>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</si>
  <si>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</si>
  <si>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</si>
  <si>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</si>
  <si>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</si>
  <si>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</si>
  <si>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</si>
  <si>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</si>
  <si>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</si>
  <si>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</si>
  <si>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</si>
  <si>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</si>
  <si>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</si>
  <si>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</si>
  <si>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</si>
  <si>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</si>
  <si>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</si>
  <si>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</si>
  <si>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</si>
  <si>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</si>
  <si>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</si>
  <si>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</si>
  <si>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</si>
  <si>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</si>
  <si>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</si>
  <si>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</si>
  <si>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</si>
  <si>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</si>
  <si>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</si>
  <si>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</si>
  <si>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</si>
  <si>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</si>
  <si>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</si>
  <si>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</si>
  <si>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</si>
  <si>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</si>
  <si>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</si>
  <si>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</si>
  <si>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</si>
  <si>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</si>
  <si>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</si>
  <si>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</si>
  <si>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</si>
  <si>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</si>
  <si>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</si>
  <si>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</si>
  <si>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</si>
  <si>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</si>
  <si>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</si>
  <si>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</si>
  <si>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</si>
  <si>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</si>
  <si>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</si>
  <si>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</si>
  <si>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</si>
  <si>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</si>
  <si>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</si>
  <si>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</si>
  <si>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</si>
  <si>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</si>
  <si>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</si>
  <si>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</si>
  <si>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</si>
  <si>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</si>
  <si>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</si>
  <si>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</si>
  <si>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</si>
  <si>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</si>
  <si>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</si>
  <si>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</si>
  <si>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</si>
  <si>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</si>
  <si>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</si>
  <si>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</si>
  <si>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</si>
  <si>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</si>
  <si>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</si>
  <si>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</si>
  <si>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</si>
  <si>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</si>
  <si>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</si>
  <si>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</si>
  <si>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</si>
  <si>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</si>
  <si>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</si>
  <si>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</si>
  <si>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</si>
  <si>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</si>
  <si>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</si>
  <si>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</si>
  <si>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</si>
  <si>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</si>
  <si>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</si>
  <si>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</si>
  <si>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</si>
  <si>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</si>
  <si>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</si>
  <si>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</si>
  <si>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</si>
  <si>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</si>
  <si>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</si>
  <si>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</si>
  <si>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</si>
  <si>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</si>
  <si>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</si>
  <si>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</si>
  <si>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</si>
  <si>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</si>
  <si>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</si>
  <si>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</si>
  <si>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</si>
  <si>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</si>
  <si>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</si>
  <si>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</si>
  <si>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</si>
  <si>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</si>
  <si>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</si>
  <si>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</si>
  <si>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</si>
  <si>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</si>
  <si>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</si>
  <si>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</si>
  <si>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</si>
  <si>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</si>
  <si>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</si>
  <si>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</si>
  <si>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</si>
  <si>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</si>
  <si>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</si>
  <si>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</si>
  <si>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</si>
  <si>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</si>
  <si>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</si>
  <si>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</si>
  <si>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</si>
  <si>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</si>
  <si>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</si>
  <si>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</si>
  <si>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</si>
  <si>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</si>
  <si>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</si>
  <si>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</si>
  <si>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</si>
  <si>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</si>
  <si>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</si>
  <si>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</si>
  <si>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</si>
  <si>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</si>
  <si>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</si>
  <si>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</si>
  <si>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</si>
  <si>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</si>
  <si>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</si>
  <si>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</si>
  <si>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</si>
  <si>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</si>
  <si>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</si>
  <si>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</si>
  <si>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</si>
  <si>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</si>
  <si>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</si>
  <si>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</si>
  <si>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</si>
  <si>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</si>
  <si>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</si>
  <si>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</si>
  <si>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</si>
  <si>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</si>
  <si>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</si>
  <si>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</si>
  <si>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</si>
  <si>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</si>
  <si>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</si>
  <si>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</si>
  <si>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</si>
  <si>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</si>
  <si>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</si>
  <si>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</si>
  <si>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</si>
  <si>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</si>
  <si>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</si>
  <si>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</si>
  <si>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</si>
  <si>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</si>
  <si>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</si>
  <si>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</si>
  <si>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</si>
  <si>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</si>
  <si>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</si>
  <si>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</si>
  <si>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</si>
  <si>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</si>
  <si>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</si>
  <si>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</si>
  <si>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</si>
  <si>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</si>
  <si>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</si>
  <si>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</si>
  <si>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</si>
  <si>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</si>
  <si>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</si>
  <si>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</si>
  <si>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</si>
  <si>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</si>
  <si>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</si>
  <si>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</si>
  <si>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</si>
  <si>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</si>
  <si>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</si>
  <si>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</si>
  <si>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</si>
  <si>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</si>
  <si>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</si>
  <si>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</si>
  <si>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</si>
  <si>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</si>
  <si>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</si>
  <si>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</si>
  <si>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</si>
  <si>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</si>
  <si>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</si>
  <si>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</si>
  <si>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</si>
  <si>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</si>
  <si>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</si>
  <si>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</si>
  <si>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</si>
  <si>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</si>
  <si>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</si>
  <si>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</si>
  <si>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</si>
  <si>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</si>
  <si>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</si>
  <si>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</si>
  <si>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</si>
  <si>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</si>
  <si>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</si>
  <si>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</si>
  <si>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</si>
  <si>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</si>
  <si>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</si>
  <si>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</si>
  <si>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</si>
  <si>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</si>
  <si>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</si>
  <si>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</si>
  <si>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</si>
  <si>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</si>
  <si>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</si>
  <si>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</si>
  <si>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</si>
  <si>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</si>
  <si>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</si>
  <si>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</si>
  <si>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</si>
  <si>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</si>
  <si>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</si>
  <si>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</si>
  <si>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</si>
  <si>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</si>
  <si>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</si>
  <si>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</si>
  <si>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</si>
  <si>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</si>
  <si>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</si>
  <si>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</si>
  <si>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</si>
  <si>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</si>
  <si>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</si>
  <si>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</si>
  <si>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</si>
  <si>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</si>
  <si>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</si>
  <si>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</si>
  <si>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</si>
  <si>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</si>
  <si>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</si>
  <si>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</si>
  <si>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</si>
  <si>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</si>
  <si>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</si>
  <si>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</si>
  <si>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</si>
  <si>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</si>
  <si>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</si>
  <si>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</si>
  <si>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</si>
  <si>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</si>
  <si>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</si>
  <si>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</si>
  <si>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</si>
  <si>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</si>
  <si>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</si>
  <si>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</si>
  <si>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</si>
  <si>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</si>
  <si>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</si>
  <si>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</si>
  <si>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</si>
  <si>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</si>
  <si>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</si>
  <si>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</si>
  <si>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</si>
  <si>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</si>
  <si>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</si>
  <si>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</si>
  <si>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</si>
  <si>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</si>
  <si>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</si>
  <si>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</si>
  <si>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</si>
  <si>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</si>
  <si>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</si>
  <si>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</si>
  <si>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</si>
  <si>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</si>
  <si>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</si>
  <si>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</si>
  <si>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</si>
  <si>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</si>
  <si>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</si>
  <si>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</si>
  <si>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</si>
  <si>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</si>
  <si>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</si>
  <si>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</si>
  <si>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</si>
  <si>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</si>
  <si>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</si>
  <si>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</si>
  <si>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</si>
  <si>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</si>
  <si>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</si>
  <si>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</si>
  <si>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</si>
  <si>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</si>
  <si>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</si>
  <si>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</si>
  <si>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</si>
  <si>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</si>
  <si>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</si>
  <si>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</si>
  <si>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</si>
  <si>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</si>
  <si>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</si>
  <si>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</si>
  <si>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</si>
  <si>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</si>
  <si>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</si>
  <si>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</si>
  <si>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</si>
  <si>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</si>
  <si>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</si>
  <si>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</si>
  <si>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</si>
  <si>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</si>
  <si>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</si>
  <si>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</si>
  <si>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</si>
  <si>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</si>
  <si>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</si>
  <si>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</si>
  <si>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</si>
  <si>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</si>
  <si>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</si>
  <si>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</si>
  <si>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</si>
  <si>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</si>
  <si>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</si>
  <si>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</si>
  <si>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</si>
  <si>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</si>
  <si>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</si>
  <si>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</si>
  <si>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</si>
  <si>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</si>
  <si>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</si>
  <si>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</si>
  <si>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</si>
  <si>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</si>
  <si>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</si>
  <si>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</si>
  <si>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</si>
  <si>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</si>
  <si>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</si>
  <si>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</si>
  <si>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</si>
  <si>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</si>
  <si>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</si>
  <si>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</si>
  <si>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</si>
  <si>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</si>
  <si>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</si>
  <si>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</si>
  <si>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</si>
  <si>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</si>
  <si>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</si>
  <si>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</si>
  <si>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</si>
  <si>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</si>
  <si>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</si>
  <si>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</si>
  <si>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</si>
  <si>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</si>
  <si>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</si>
  <si>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</si>
  <si>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</si>
  <si>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</si>
  <si>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</si>
  <si>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</si>
  <si>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</si>
  <si>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</si>
  <si>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</si>
  <si>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</si>
  <si>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</si>
  <si>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</si>
  <si>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</si>
  <si>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</si>
  <si>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</si>
  <si>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</si>
  <si>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</si>
  <si>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</si>
  <si>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</si>
  <si>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</si>
  <si>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</si>
  <si>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</si>
  <si>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</si>
  <si>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</si>
  <si>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</si>
  <si>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</si>
  <si>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</si>
  <si>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</si>
  <si>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</si>
  <si>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</si>
  <si>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</si>
  <si>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</si>
  <si>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</si>
  <si>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</si>
  <si>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</si>
  <si>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</si>
  <si>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</si>
  <si>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</si>
  <si>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</si>
  <si>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</si>
  <si>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</si>
  <si>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</si>
  <si>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</si>
  <si>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</si>
  <si>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</si>
  <si>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</si>
  <si>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</si>
  <si>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</si>
  <si>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</si>
  <si>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</si>
  <si>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</si>
  <si>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</si>
  <si>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</si>
  <si>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</si>
  <si>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</si>
  <si>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</si>
  <si>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</si>
  <si>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</si>
  <si>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</si>
  <si>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</si>
  <si>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</si>
  <si>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</si>
  <si>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</si>
  <si>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</si>
  <si>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</si>
  <si>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</si>
  <si>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</si>
  <si>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</si>
  <si>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</si>
  <si>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</si>
  <si>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</si>
  <si>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</si>
  <si>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</si>
  <si>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</si>
  <si>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</si>
  <si>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</si>
  <si>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</si>
  <si>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</si>
  <si>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</si>
  <si>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</si>
  <si>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</si>
  <si>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</si>
  <si>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</si>
  <si>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</si>
  <si>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</si>
  <si>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</si>
  <si>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</si>
  <si>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</si>
  <si>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</si>
  <si>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</si>
  <si>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</si>
  <si>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</si>
  <si>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</si>
  <si>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</si>
  <si>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</si>
  <si>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</si>
  <si>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</si>
  <si>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</si>
  <si>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</si>
  <si>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</si>
  <si>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</si>
  <si>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</si>
  <si>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</si>
  <si>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</si>
  <si>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</si>
  <si>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</si>
  <si>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</si>
  <si>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</si>
  <si>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</si>
  <si>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</si>
  <si>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</si>
  <si>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</si>
  <si>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</si>
  <si>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</si>
  <si>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</si>
  <si>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</si>
  <si>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</si>
  <si>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</si>
  <si>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</si>
  <si>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</si>
  <si>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</si>
  <si>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</si>
  <si>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</si>
  <si>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</si>
  <si>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</si>
  <si>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</si>
  <si>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</si>
  <si>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</si>
  <si>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</si>
  <si>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</si>
  <si>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</si>
  <si>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</si>
  <si>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</si>
  <si>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</si>
  <si>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</si>
  <si>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</si>
  <si>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</si>
  <si>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</si>
  <si>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</si>
  <si>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</si>
  <si>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</si>
  <si>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</si>
  <si>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</si>
  <si>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</si>
  <si>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</si>
  <si>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</si>
  <si>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</si>
  <si>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</si>
  <si>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</si>
  <si>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</si>
  <si>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</si>
  <si>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</si>
  <si>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</si>
  <si>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</si>
  <si>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</si>
  <si>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</si>
  <si>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</si>
  <si>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</si>
  <si>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</si>
  <si>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</si>
  <si>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</si>
  <si>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</si>
  <si>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</si>
  <si>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</si>
  <si>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</si>
  <si>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</si>
  <si>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</si>
  <si>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</si>
  <si>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</si>
  <si>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</si>
  <si>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</si>
  <si>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</si>
  <si>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</si>
  <si>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</si>
  <si>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</si>
  <si>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</si>
  <si>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</si>
  <si>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</si>
  <si>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</si>
  <si>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</si>
  <si>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</si>
  <si>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</si>
  <si>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</si>
  <si>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</si>
  <si>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</si>
  <si>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</si>
  <si>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</si>
  <si>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</si>
  <si>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</si>
  <si>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</si>
  <si>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</si>
  <si>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</si>
  <si>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</si>
  <si>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</si>
  <si>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</si>
  <si>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</si>
  <si>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</si>
  <si>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</si>
  <si>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</si>
  <si>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</si>
  <si>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</si>
  <si>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</si>
  <si>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</si>
  <si>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</si>
  <si>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</si>
  <si>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</si>
  <si>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</si>
  <si>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</si>
  <si>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</si>
  <si>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</si>
  <si>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</si>
  <si>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</si>
  <si>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</si>
  <si>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</si>
  <si>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</si>
  <si>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</si>
  <si>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</si>
  <si>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</si>
  <si>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</si>
  <si>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</si>
  <si>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</si>
  <si>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</si>
  <si>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</si>
  <si>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</si>
  <si>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</si>
  <si>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</si>
  <si>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</si>
  <si>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</si>
  <si>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</si>
  <si>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</si>
  <si>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</si>
  <si>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</si>
  <si>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</si>
  <si>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</si>
  <si>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</si>
  <si>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</si>
  <si>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</si>
  <si>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</si>
  <si>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</si>
  <si>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</si>
  <si>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</si>
  <si>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</si>
  <si>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</si>
  <si>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</si>
  <si>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</si>
  <si>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</si>
  <si>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</si>
  <si>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</si>
  <si>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</si>
  <si>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</si>
  <si>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</si>
  <si>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</si>
  <si>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</si>
  <si>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</si>
  <si>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</si>
  <si>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</si>
  <si>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</si>
  <si>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</si>
  <si>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</si>
  <si>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</si>
  <si>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</si>
  <si>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</si>
  <si>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</si>
  <si>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</si>
  <si>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</si>
  <si>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</si>
  <si>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</si>
  <si>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</si>
  <si>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</si>
  <si>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</si>
  <si>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</si>
  <si>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</si>
  <si>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</si>
  <si>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</si>
  <si>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</si>
  <si>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</si>
  <si>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</si>
  <si>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</si>
  <si>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</si>
  <si>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</si>
  <si>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</si>
  <si>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</si>
  <si>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</si>
  <si>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</si>
  <si>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</si>
  <si>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</si>
  <si>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</si>
  <si>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</si>
  <si>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</si>
  <si>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</si>
  <si>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</si>
  <si>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</si>
  <si>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</si>
  <si>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</si>
  <si>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</si>
  <si>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</si>
  <si>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</si>
  <si>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</si>
  <si>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</si>
  <si>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</si>
  <si>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</si>
  <si>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</si>
  <si>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</si>
  <si>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</si>
  <si>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</si>
  <si>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</si>
  <si>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</si>
  <si>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</si>
  <si>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</si>
  <si>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</si>
  <si>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</si>
  <si>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</si>
  <si>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</si>
  <si>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</si>
  <si>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</si>
  <si>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</si>
  <si>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</si>
  <si>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</si>
  <si>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</si>
  <si>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</si>
  <si>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</si>
  <si>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</si>
  <si>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</si>
  <si>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</si>
  <si>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</si>
  <si>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</si>
  <si>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</si>
  <si>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</si>
  <si>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</si>
  <si>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</si>
  <si>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</si>
  <si>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</si>
  <si>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</si>
  <si>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</si>
  <si>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</si>
  <si>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</si>
  <si>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</si>
  <si>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</si>
  <si>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</si>
  <si>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</si>
  <si>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</si>
  <si>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</si>
  <si>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</si>
  <si>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</si>
  <si>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</si>
  <si>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</si>
  <si>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</si>
  <si>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</si>
  <si>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</si>
  <si>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</si>
  <si>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</si>
  <si>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</si>
  <si>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</si>
  <si>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</si>
  <si>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</si>
  <si>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</si>
  <si>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</si>
  <si>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</si>
  <si>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</si>
  <si>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</si>
  <si>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</si>
  <si>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</si>
  <si>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</si>
  <si>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</si>
  <si>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</si>
  <si>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</si>
  <si>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</si>
  <si>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</si>
  <si>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</si>
  <si>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</si>
  <si>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</si>
  <si>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</si>
  <si>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</si>
  <si>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</si>
  <si>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</si>
  <si>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</si>
  <si>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</si>
  <si>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</si>
  <si>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</si>
  <si>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</si>
  <si>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</si>
  <si>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</si>
  <si>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</si>
  <si>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</si>
  <si>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</si>
  <si>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</si>
  <si>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</si>
  <si>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</si>
  <si>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</si>
  <si>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</si>
  <si>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</si>
  <si>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</si>
  <si>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</si>
  <si>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</si>
  <si>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</si>
  <si>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</si>
  <si>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</si>
  <si>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</si>
  <si>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</si>
  <si>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</si>
  <si>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</si>
  <si>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</si>
  <si>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</si>
  <si>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</si>
  <si>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</si>
  <si>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</si>
  <si>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</si>
  <si>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</si>
  <si>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</si>
  <si>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</si>
  <si>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</si>
  <si>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</si>
  <si>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</si>
  <si>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</si>
  <si>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</si>
  <si>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</si>
  <si>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</si>
  <si>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</si>
  <si>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</si>
  <si>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</si>
  <si>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</si>
  <si>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</si>
  <si>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</si>
  <si>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</si>
  <si>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</si>
  <si>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</si>
  <si>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</si>
  <si>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</si>
  <si>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</si>
  <si>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</si>
  <si>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</si>
  <si>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</si>
  <si>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</si>
  <si>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</si>
  <si>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</si>
  <si>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</si>
  <si>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</si>
  <si>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</si>
  <si>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</si>
  <si>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</si>
  <si>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</si>
  <si>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</si>
  <si>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</si>
  <si>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</si>
  <si>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</si>
  <si>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</si>
  <si>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</si>
  <si>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</si>
  <si>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</si>
  <si>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</si>
  <si>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</si>
  <si>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</si>
  <si>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</si>
  <si>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</si>
  <si>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</si>
  <si>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</si>
  <si>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</si>
  <si>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</si>
  <si>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</si>
  <si>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</si>
  <si>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</si>
  <si>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</si>
  <si>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</si>
  <si>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</si>
  <si>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</si>
  <si>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</si>
  <si>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</si>
  <si>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</si>
  <si>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</si>
  <si>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</si>
  <si>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</si>
  <si>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</si>
  <si>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</si>
  <si>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</si>
  <si>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</si>
  <si>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</si>
  <si>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</si>
  <si>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</si>
  <si>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</si>
  <si>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</si>
  <si>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</si>
  <si>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</si>
  <si>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</si>
  <si>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</si>
  <si>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</si>
  <si>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</si>
  <si>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</si>
  <si>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</si>
  <si>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</si>
  <si>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</si>
  <si>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</si>
  <si>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</si>
  <si>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</si>
  <si>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</si>
  <si>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</si>
  <si>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</si>
  <si>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</si>
  <si>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</si>
  <si>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</si>
  <si>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</si>
  <si>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</si>
  <si>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</si>
  <si>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</si>
  <si>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</si>
  <si>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</si>
  <si>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</si>
  <si>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</si>
  <si>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</si>
  <si>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</si>
  <si>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</si>
  <si>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</si>
  <si>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</si>
  <si>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</si>
  <si>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</si>
  <si>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</si>
  <si>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</si>
  <si>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</si>
  <si>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</si>
  <si>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</si>
  <si>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</si>
  <si>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</si>
  <si>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</si>
  <si>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</si>
  <si>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</si>
  <si>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</si>
  <si>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</si>
  <si>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</si>
  <si>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</si>
  <si>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</si>
  <si>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</si>
  <si>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</si>
  <si>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</si>
  <si>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</si>
  <si>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</si>
  <si>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</si>
  <si>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</si>
  <si>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</si>
  <si>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</si>
  <si>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</si>
  <si>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</si>
  <si>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</si>
  <si>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</si>
  <si>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</si>
  <si>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</si>
  <si>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</si>
  <si>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</si>
  <si>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</si>
  <si>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</si>
  <si>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</si>
  <si>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</si>
  <si>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</si>
  <si>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</si>
  <si>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</si>
  <si>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</si>
  <si>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</si>
  <si>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</si>
  <si>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</si>
  <si>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</si>
  <si>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</si>
  <si>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</si>
  <si>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</si>
  <si>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</si>
  <si>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</si>
  <si>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</si>
  <si>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</si>
  <si>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</si>
  <si>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</si>
  <si>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</si>
  <si>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</si>
  <si>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</si>
  <si>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</si>
  <si>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</si>
  <si>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</si>
  <si>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</si>
  <si>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</si>
  <si>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</si>
  <si>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</si>
  <si>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</si>
  <si>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</si>
  <si>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</si>
  <si>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</si>
  <si>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</si>
  <si>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</si>
  <si>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</si>
  <si>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</si>
  <si>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</si>
  <si>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</si>
  <si>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</si>
  <si>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</si>
  <si>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</si>
  <si>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</si>
  <si>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</si>
  <si>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</si>
  <si>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</si>
  <si>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</si>
  <si>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</si>
  <si>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</si>
  <si>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</si>
  <si>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</si>
  <si>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</si>
  <si>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</si>
  <si>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</si>
  <si>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</si>
  <si>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</si>
  <si>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</si>
  <si>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</si>
  <si>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</si>
  <si>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</si>
  <si>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</si>
  <si>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</si>
  <si>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</si>
  <si>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</si>
  <si>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</si>
  <si>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</si>
  <si>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</si>
  <si>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</si>
  <si>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</si>
  <si>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</si>
  <si>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</si>
  <si>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</si>
  <si>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</si>
  <si>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</si>
  <si>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</si>
  <si>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</si>
  <si>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</si>
  <si>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</si>
  <si>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</si>
  <si>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</si>
  <si>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</si>
  <si>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</si>
  <si>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</si>
  <si>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</si>
  <si>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</si>
  <si>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</si>
  <si>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</si>
  <si>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</si>
  <si>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</si>
  <si>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</si>
  <si>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</si>
  <si>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</si>
  <si>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</si>
  <si>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</si>
  <si>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</si>
  <si>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</si>
  <si>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</si>
  <si>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</si>
  <si>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</si>
  <si>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</si>
  <si>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</si>
  <si>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</si>
  <si>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</si>
  <si>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</si>
  <si>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</si>
  <si>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</si>
  <si>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</si>
  <si>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</si>
  <si>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</si>
  <si>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</si>
  <si>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</si>
  <si>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</si>
  <si>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</si>
  <si>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</si>
  <si>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</si>
  <si>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</si>
  <si>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</si>
  <si>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</si>
  <si>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</si>
  <si>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</si>
  <si>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</si>
  <si>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</si>
  <si>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</si>
  <si>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</si>
  <si>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</si>
  <si>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</si>
  <si>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</si>
  <si>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</si>
  <si>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</si>
  <si>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</si>
  <si>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</si>
  <si>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</si>
  <si>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</si>
  <si>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</si>
  <si>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</si>
  <si>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</si>
  <si>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</si>
  <si>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</si>
  <si>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</si>
  <si>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</si>
  <si>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</si>
  <si>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</si>
  <si>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</si>
  <si>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</si>
  <si>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</si>
  <si>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</si>
  <si>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</si>
  <si>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</si>
  <si>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</si>
  <si>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</si>
  <si>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</si>
  <si>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</si>
  <si>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</si>
  <si>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</si>
  <si>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</si>
  <si>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</si>
  <si>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</si>
  <si>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</si>
  <si>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</si>
  <si>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</si>
  <si>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</si>
  <si>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</si>
  <si>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</si>
  <si>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</si>
  <si>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</si>
  <si>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</si>
  <si>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</si>
  <si>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</si>
  <si>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</si>
  <si>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</si>
  <si>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</si>
  <si>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</si>
  <si>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</si>
  <si>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</si>
  <si>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</si>
  <si>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</si>
  <si>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</si>
  <si>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</si>
  <si>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</si>
  <si>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</si>
  <si>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</si>
  <si>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</si>
  <si>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</si>
  <si>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</si>
  <si>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</si>
  <si>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</si>
  <si>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</si>
  <si>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</si>
  <si>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</si>
  <si>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</si>
  <si>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</si>
  <si>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</si>
  <si>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</si>
  <si>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</si>
  <si>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</si>
  <si>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</si>
  <si>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</si>
  <si>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</si>
  <si>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</si>
  <si>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</si>
  <si>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</si>
  <si>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</si>
  <si>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</si>
  <si>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</si>
  <si>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</si>
  <si>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</si>
  <si>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</si>
  <si>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</si>
  <si>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</si>
  <si>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</si>
  <si>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</si>
  <si>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</si>
  <si>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</si>
  <si>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</si>
  <si>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</si>
  <si>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</si>
  <si>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</si>
  <si>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</si>
  <si>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</si>
  <si>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</si>
  <si>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</si>
  <si>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</si>
  <si>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</si>
  <si>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</si>
  <si>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</si>
  <si>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</si>
  <si>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</si>
  <si>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</si>
  <si>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</si>
  <si>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</si>
  <si>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</si>
  <si>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</si>
  <si>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</si>
  <si>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</si>
  <si>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</si>
  <si>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</si>
  <si>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</si>
  <si>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</si>
  <si>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</si>
  <si>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</si>
  <si>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</si>
  <si>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</si>
  <si>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</si>
  <si>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</si>
  <si>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</si>
  <si>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</si>
  <si>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</si>
  <si>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</si>
  <si>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</si>
  <si>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</si>
  <si>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</si>
  <si>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</si>
  <si>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</si>
  <si>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</si>
  <si>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</si>
  <si>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</si>
  <si>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</si>
  <si>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</si>
  <si>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</si>
  <si>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</si>
  <si>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</si>
  <si>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</si>
  <si>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</si>
  <si>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</si>
  <si>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</si>
  <si>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</si>
  <si>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</si>
  <si>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</si>
  <si>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</si>
  <si>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</si>
  <si>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</si>
  <si>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</si>
  <si>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</si>
  <si>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</si>
  <si>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</si>
  <si>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</si>
  <si>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</si>
  <si>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</si>
  <si>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</si>
  <si>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</si>
  <si>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</si>
  <si>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</si>
  <si>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</si>
  <si>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</si>
  <si>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</si>
  <si>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</si>
  <si>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</si>
  <si>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</si>
  <si>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</si>
  <si>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</si>
  <si>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</si>
  <si>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</si>
  <si>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</si>
  <si>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</si>
  <si>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</si>
  <si>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</si>
  <si>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</si>
  <si>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</si>
  <si>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</si>
  <si>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</si>
  <si>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</si>
  <si>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</si>
  <si>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</si>
  <si>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</si>
  <si>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</si>
  <si>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</si>
  <si>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</si>
  <si>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</si>
  <si>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</si>
  <si>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</si>
  <si>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</si>
  <si>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</si>
  <si>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</si>
  <si>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</si>
  <si>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</si>
  <si>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</si>
  <si>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</si>
  <si>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</si>
  <si>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</si>
  <si>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</si>
  <si>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</si>
  <si>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</si>
  <si>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</si>
  <si>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</si>
  <si>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</si>
  <si>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</si>
  <si>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</si>
  <si>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</si>
  <si>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</si>
  <si>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</si>
  <si>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</si>
  <si>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</si>
  <si>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</si>
  <si>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</si>
  <si>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</si>
  <si>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</si>
  <si>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</si>
  <si>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</si>
  <si>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</si>
  <si>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</si>
  <si>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</si>
  <si>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</si>
  <si>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</si>
  <si>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</si>
  <si>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</si>
  <si>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</si>
  <si>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</si>
  <si>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</si>
  <si>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</si>
  <si>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</si>
  <si>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</si>
  <si>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</si>
  <si>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</si>
  <si>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</si>
  <si>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</si>
  <si>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</si>
  <si>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</si>
  <si>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</si>
  <si>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</si>
  <si>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</si>
  <si>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</si>
  <si>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</si>
  <si>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</si>
  <si>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</si>
  <si>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</si>
  <si>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</si>
  <si>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</si>
  <si>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</si>
  <si>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</si>
  <si>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</si>
  <si>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</si>
  <si>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</si>
  <si>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</si>
  <si>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</si>
  <si>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</si>
  <si>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</si>
  <si>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</si>
  <si>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</si>
  <si>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</si>
  <si>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</si>
  <si>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</si>
  <si>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</si>
  <si>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</si>
  <si>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</si>
  <si>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</si>
  <si>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</si>
  <si>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</si>
  <si>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</si>
  <si>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</si>
  <si>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</si>
  <si>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</si>
  <si>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</si>
  <si>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</si>
  <si>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</si>
  <si>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</si>
  <si>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</si>
  <si>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</si>
  <si>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</si>
  <si>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</si>
  <si>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</si>
  <si>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</si>
  <si>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</si>
  <si>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</si>
  <si>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</si>
  <si>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</si>
  <si>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</si>
  <si>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</si>
  <si>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</si>
  <si>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</si>
  <si>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</si>
  <si>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</si>
  <si>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</si>
  <si>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</si>
  <si>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</si>
  <si>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</si>
  <si>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</si>
  <si>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</si>
  <si>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</si>
  <si>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</si>
  <si>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</si>
  <si>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</si>
  <si>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</si>
  <si>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</si>
  <si>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</si>
  <si>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</si>
  <si>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</si>
  <si>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</si>
  <si>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</si>
  <si>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</si>
  <si>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</si>
  <si>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</si>
  <si>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</si>
  <si>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</si>
  <si>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</si>
  <si>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</si>
  <si>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</si>
  <si>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</si>
  <si>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</si>
  <si>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</si>
  <si>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</si>
  <si>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</si>
  <si>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</si>
  <si>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</si>
  <si>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</si>
  <si>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</si>
  <si>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</si>
  <si>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</si>
  <si>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</si>
  <si>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</si>
  <si>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</si>
  <si>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</si>
  <si>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</si>
  <si>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</si>
  <si>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</si>
  <si>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</si>
  <si>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</si>
  <si>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</si>
  <si>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</si>
  <si>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</si>
  <si>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</si>
  <si>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</si>
  <si>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</si>
  <si>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</si>
  <si>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</si>
  <si>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</si>
  <si>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</si>
  <si>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</si>
  <si>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</si>
  <si>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</si>
  <si>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</si>
  <si>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</si>
  <si>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</si>
  <si>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</si>
  <si>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</si>
  <si>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</si>
  <si>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</si>
  <si>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</si>
  <si>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</si>
  <si>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</si>
  <si>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</si>
  <si>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</si>
  <si>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</si>
  <si>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</si>
  <si>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</si>
  <si>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</si>
  <si>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</si>
  <si>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</si>
  <si>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</si>
  <si>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</si>
  <si>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</si>
  <si>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</si>
  <si>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</si>
  <si>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</si>
  <si>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</si>
  <si>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</si>
  <si>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</si>
  <si>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</si>
  <si>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</si>
  <si>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</si>
  <si>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</si>
  <si>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</si>
  <si>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</si>
  <si>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</si>
  <si>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</si>
  <si>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</si>
  <si>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</si>
  <si>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</si>
  <si>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</si>
  <si>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</si>
  <si>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</si>
  <si>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</si>
  <si>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</si>
  <si>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</si>
  <si>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</si>
  <si>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</si>
  <si>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</si>
  <si>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</si>
  <si>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</si>
  <si>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</si>
  <si>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</si>
  <si>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</si>
  <si>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</si>
  <si>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</si>
  <si>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</si>
  <si>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</si>
  <si>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</si>
  <si>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</si>
  <si>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</si>
  <si>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</si>
  <si>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</si>
  <si>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</si>
  <si>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</si>
  <si>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</si>
  <si>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</si>
  <si>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</si>
  <si>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</si>
  <si>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</si>
  <si>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</si>
  <si>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</si>
  <si>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</si>
  <si>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</si>
  <si>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</si>
  <si>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</si>
  <si>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</si>
  <si>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</si>
  <si>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</si>
  <si>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</si>
  <si>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</si>
  <si>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</si>
  <si>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</si>
  <si>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</si>
  <si>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</si>
  <si>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</si>
  <si>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</si>
  <si>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</si>
  <si>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</si>
  <si>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</si>
  <si>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</si>
  <si>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</si>
  <si>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</si>
  <si>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</si>
  <si>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</si>
  <si>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</si>
  <si>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</si>
  <si>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</si>
  <si>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</si>
  <si>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</si>
  <si>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</si>
  <si>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</si>
  <si>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</si>
  <si>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</si>
  <si>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</si>
  <si>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</si>
  <si>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</si>
  <si>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</si>
  <si>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</si>
  <si>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</si>
  <si>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</si>
  <si>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</si>
  <si>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</si>
  <si>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</si>
  <si>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</si>
  <si>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</si>
  <si>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</si>
  <si>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</si>
  <si>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</si>
  <si>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</si>
  <si>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</si>
  <si>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</si>
  <si>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</si>
  <si>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</si>
  <si>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</si>
  <si>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</si>
  <si>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</si>
  <si>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</si>
  <si>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</si>
  <si>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</si>
  <si>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</si>
  <si>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</si>
  <si>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</si>
  <si>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</si>
  <si>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</si>
  <si>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</si>
  <si>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</si>
  <si>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</si>
  <si>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</si>
  <si>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</si>
  <si>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</si>
  <si>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</si>
  <si>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</si>
  <si>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</si>
  <si>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</si>
  <si>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</si>
  <si>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</si>
  <si>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</si>
  <si>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</si>
  <si>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</si>
  <si>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</si>
  <si>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</si>
  <si>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</si>
  <si>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</si>
  <si>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</si>
  <si>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</si>
  <si>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</si>
  <si>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</si>
  <si>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</si>
  <si>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</si>
  <si>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</si>
  <si>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</si>
  <si>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</si>
  <si>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</si>
  <si>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</si>
  <si>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</si>
  <si>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</si>
  <si>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</si>
  <si>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</si>
  <si>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</si>
  <si>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</si>
  <si>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</si>
  <si>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</si>
  <si>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</si>
  <si>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</si>
  <si>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</si>
  <si>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</si>
  <si>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</si>
  <si>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</si>
  <si>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</si>
  <si>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</si>
  <si>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</si>
  <si>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</si>
  <si>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</si>
  <si>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</si>
  <si>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</si>
  <si>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</si>
  <si>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</si>
  <si>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</si>
  <si>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</si>
  <si>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</si>
  <si>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</si>
  <si>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</si>
  <si>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</si>
  <si>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</si>
  <si>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</si>
  <si>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</si>
  <si>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</si>
  <si>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</si>
  <si>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</si>
  <si>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</si>
  <si>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</si>
  <si>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</si>
  <si>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</si>
  <si>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</si>
  <si>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</si>
  <si>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</si>
  <si>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</si>
  <si>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</si>
  <si>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</si>
  <si>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</si>
  <si>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</si>
  <si>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</si>
  <si>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</si>
  <si>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</si>
  <si>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</si>
  <si>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</si>
  <si>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</si>
  <si>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</si>
  <si>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</si>
  <si>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</si>
  <si>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</si>
  <si>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</si>
  <si>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</si>
  <si>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</si>
  <si>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</si>
  <si>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</si>
  <si>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</si>
  <si>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</si>
  <si>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</si>
  <si>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</si>
  <si>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</si>
  <si>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</si>
  <si>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</si>
  <si>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</si>
  <si>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</si>
  <si>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</si>
  <si>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</si>
  <si>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</si>
  <si>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</si>
  <si>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</si>
  <si>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</si>
  <si>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</si>
  <si>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</si>
  <si>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</si>
  <si>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</si>
  <si>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</si>
  <si>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</si>
  <si>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</si>
  <si>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</si>
  <si>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</si>
  <si>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</si>
  <si>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</si>
  <si>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</si>
  <si>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</si>
  <si>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</si>
  <si>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</si>
  <si>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</si>
  <si>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</si>
  <si>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</si>
  <si>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</si>
  <si>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</si>
  <si>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</si>
  <si>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</si>
  <si>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</si>
  <si>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</si>
  <si>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</si>
  <si>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</si>
  <si>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</si>
  <si>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</si>
  <si>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</si>
  <si>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</si>
  <si>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</si>
  <si>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</si>
  <si>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</si>
  <si>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</si>
  <si>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</si>
  <si>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</si>
  <si>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</si>
  <si>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</si>
  <si>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</si>
  <si>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</si>
  <si>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</si>
  <si>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</si>
  <si>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</si>
  <si>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</si>
  <si>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</si>
  <si>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</si>
  <si>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</si>
  <si>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</si>
  <si>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</si>
  <si>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</si>
  <si>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</si>
  <si>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</si>
  <si>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</si>
  <si>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</si>
  <si>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</si>
  <si>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</si>
  <si>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</si>
  <si>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</si>
  <si>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</si>
  <si>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</si>
  <si>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</si>
  <si>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</si>
  <si>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</si>
  <si>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</si>
  <si>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</si>
  <si>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</si>
  <si>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</si>
  <si>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</si>
  <si>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</si>
  <si>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</si>
  <si>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</si>
  <si>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</si>
  <si>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</si>
  <si>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</si>
  <si>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</si>
  <si>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</si>
  <si>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</si>
  <si>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</si>
  <si>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</si>
  <si>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</si>
  <si>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</si>
  <si>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</si>
  <si>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</si>
  <si>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</si>
  <si>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</si>
  <si>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</si>
  <si>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</si>
  <si>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</si>
  <si>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</si>
  <si>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</si>
  <si>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</si>
  <si>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</si>
  <si>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</si>
  <si>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</si>
  <si>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</si>
  <si>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</si>
  <si>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</si>
  <si>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</si>
  <si>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</si>
  <si>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</si>
  <si>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</si>
  <si>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</si>
  <si>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</si>
  <si>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</si>
  <si>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</si>
  <si>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</si>
  <si>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</si>
  <si>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</si>
  <si>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</si>
  <si>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</si>
  <si>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</si>
  <si>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</si>
  <si>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</si>
  <si>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</si>
  <si>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</si>
  <si>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</si>
  <si>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</si>
  <si>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</si>
  <si>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</si>
  <si>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</si>
  <si>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</si>
  <si>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</si>
  <si>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</si>
  <si>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</si>
  <si>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</si>
  <si>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</si>
  <si>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</si>
  <si>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</si>
  <si>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</si>
  <si>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</si>
  <si>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</si>
  <si>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</si>
  <si>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</si>
  <si>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</si>
  <si>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</si>
  <si>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</si>
  <si>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</si>
  <si>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</si>
  <si>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</si>
  <si>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</si>
  <si>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</si>
  <si>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</si>
  <si>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</si>
  <si>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</si>
  <si>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</si>
  <si>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</si>
  <si>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</si>
  <si>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</si>
  <si>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</si>
  <si>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</si>
  <si>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</si>
  <si>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</si>
  <si>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</si>
  <si>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</si>
  <si>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</si>
  <si>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</si>
  <si>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</si>
  <si>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</si>
  <si>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</si>
  <si>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</si>
  <si>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</si>
  <si>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</si>
  <si>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</si>
  <si>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</si>
  <si>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</si>
  <si>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</si>
  <si>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</si>
  <si>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</si>
  <si>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</si>
  <si>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</si>
  <si>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</si>
  <si>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</si>
  <si>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</si>
  <si>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</si>
  <si>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</si>
  <si>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</si>
  <si>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</si>
  <si>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</si>
  <si>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</si>
  <si>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</si>
  <si>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</si>
  <si>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</si>
  <si>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</si>
  <si>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</si>
  <si>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</si>
  <si>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</si>
  <si>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</si>
  <si>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</si>
  <si>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</si>
  <si>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</si>
  <si>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</si>
  <si>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</si>
  <si>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</si>
  <si>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</si>
  <si>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</si>
  <si>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</si>
  <si>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</si>
  <si>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</si>
  <si>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</si>
  <si>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</si>
  <si>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</si>
  <si>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</si>
  <si>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</si>
  <si>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</si>
  <si>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</si>
  <si>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</si>
  <si>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</si>
  <si>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</si>
  <si>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</si>
  <si>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</si>
  <si>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</si>
  <si>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</si>
  <si>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</si>
  <si>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</si>
  <si>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</si>
  <si>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</si>
  <si>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</si>
  <si>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</si>
  <si>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</si>
  <si>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</si>
  <si>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</si>
  <si>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</si>
  <si>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</si>
  <si>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</si>
  <si>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</si>
  <si>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</si>
  <si>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</si>
  <si>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</si>
  <si>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</si>
  <si>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</si>
  <si>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</si>
  <si>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</si>
  <si>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</si>
  <si>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</si>
  <si>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</si>
  <si>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</si>
  <si>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</si>
  <si>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</si>
  <si>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</si>
  <si>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</si>
  <si>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</si>
  <si>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</si>
  <si>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</si>
  <si>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</si>
  <si>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</si>
  <si>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</si>
  <si>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</si>
  <si>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</si>
  <si>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</si>
  <si>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</si>
  <si>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</si>
  <si>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</si>
  <si>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</si>
  <si>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</si>
  <si>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</si>
  <si>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</si>
  <si>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</si>
  <si>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</si>
  <si>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</si>
  <si>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</si>
  <si>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</si>
  <si>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</si>
  <si>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</si>
  <si>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</si>
  <si>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</si>
  <si>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</si>
  <si>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</si>
  <si>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</si>
  <si>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</si>
  <si>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</si>
  <si>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</si>
  <si>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</si>
  <si>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</si>
  <si>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</si>
  <si>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</si>
  <si>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</si>
  <si>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</si>
  <si>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</si>
  <si>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</si>
  <si>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</si>
  <si>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</si>
  <si>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</si>
  <si>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</si>
  <si>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</si>
  <si>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</si>
  <si>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</si>
  <si>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</si>
  <si>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</si>
  <si>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</si>
  <si>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</si>
  <si>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</si>
  <si>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</si>
  <si>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</si>
  <si>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</si>
  <si>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</si>
  <si>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</si>
  <si>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</si>
  <si>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</si>
  <si>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</si>
  <si>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</si>
  <si>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</si>
  <si>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</si>
  <si>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</si>
  <si>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</si>
  <si>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</si>
  <si>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</si>
  <si>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</si>
  <si>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</si>
  <si>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</si>
  <si>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</si>
  <si>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</si>
  <si>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</si>
  <si>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</si>
  <si>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</si>
  <si>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</si>
  <si>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</si>
  <si>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</si>
  <si>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</si>
  <si>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</si>
  <si>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</si>
  <si>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</si>
  <si>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</si>
  <si>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</si>
  <si>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</si>
  <si>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</si>
  <si>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</si>
  <si>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</si>
  <si>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</si>
  <si>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</si>
  <si>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</si>
  <si>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</si>
  <si>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</si>
  <si>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</si>
  <si>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</si>
  <si>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</si>
  <si>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</si>
  <si>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</si>
  <si>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</si>
  <si>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</si>
  <si>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</si>
  <si>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</si>
  <si>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</si>
  <si>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</si>
  <si>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</si>
  <si>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</si>
  <si>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</si>
  <si>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</si>
  <si>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</si>
  <si>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</si>
  <si>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</si>
  <si>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</si>
  <si>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</si>
  <si>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</si>
  <si>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</si>
  <si>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</si>
  <si>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</si>
  <si>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</si>
  <si>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</si>
  <si>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</si>
  <si>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</si>
  <si>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</si>
  <si>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</si>
  <si>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</si>
  <si>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</si>
  <si>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</si>
  <si>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</si>
  <si>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</si>
  <si>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</si>
  <si>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</si>
  <si>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</si>
  <si>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</si>
  <si>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</si>
  <si>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</si>
  <si>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</si>
  <si>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</si>
  <si>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</si>
  <si>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</si>
  <si>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</si>
  <si>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</si>
  <si>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</si>
  <si>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</si>
  <si>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</si>
  <si>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</si>
  <si>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</si>
  <si>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</si>
  <si>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</si>
  <si>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</si>
  <si>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</si>
  <si>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</si>
  <si>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</si>
  <si>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</si>
  <si>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</si>
  <si>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</si>
  <si>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</si>
  <si>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</si>
  <si>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</si>
  <si>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</si>
  <si>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</si>
  <si>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</si>
  <si>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</si>
  <si>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</si>
  <si>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</si>
  <si>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</si>
  <si>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</si>
  <si>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</si>
  <si>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</si>
  <si>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</si>
  <si>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</si>
  <si>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</si>
  <si>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</si>
  <si>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</si>
  <si>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</si>
  <si>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</si>
  <si>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</si>
  <si>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</si>
  <si>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</si>
  <si>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</si>
  <si>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</si>
  <si>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</si>
  <si>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</si>
  <si>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</si>
  <si>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</si>
  <si>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</si>
  <si>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</si>
  <si>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</si>
  <si>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</si>
  <si>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</si>
  <si>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</si>
  <si>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</si>
  <si>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</si>
  <si>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</si>
  <si>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</si>
  <si>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</si>
  <si>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</si>
  <si>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</si>
  <si>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</si>
  <si>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</si>
  <si>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</si>
  <si>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</si>
  <si>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</si>
  <si>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</si>
  <si>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</si>
  <si>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</si>
  <si>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</si>
  <si>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</si>
  <si>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</si>
  <si>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</si>
  <si>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</si>
  <si>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</si>
  <si>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</si>
  <si>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</si>
  <si>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</si>
  <si>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</si>
  <si>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</si>
  <si>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</si>
  <si>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</si>
  <si>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</si>
  <si>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</si>
  <si>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</si>
  <si>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</si>
  <si>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</si>
  <si>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</si>
  <si>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</si>
  <si>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</si>
  <si>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</si>
  <si>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</si>
  <si>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</si>
  <si>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</si>
  <si>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</si>
  <si>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</si>
  <si>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</si>
  <si>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</si>
  <si>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</si>
  <si>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</si>
  <si>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</si>
  <si>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</si>
  <si>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</si>
  <si>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</si>
  <si>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</si>
  <si>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</si>
  <si>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</si>
  <si>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</si>
  <si>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</si>
  <si>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</si>
  <si>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</si>
  <si>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</si>
  <si>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</si>
  <si>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</si>
  <si>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</si>
  <si>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</si>
  <si>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</si>
  <si>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</si>
  <si>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</si>
  <si>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</si>
  <si>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</si>
  <si>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</si>
  <si>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</si>
  <si>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</si>
  <si>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</si>
  <si>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</si>
  <si>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</si>
  <si>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</si>
  <si>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</si>
  <si>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</si>
  <si>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</si>
  <si>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</si>
  <si>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</si>
  <si>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</si>
  <si>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</si>
  <si>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</si>
  <si>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</si>
  <si>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</si>
  <si>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</si>
  <si>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</si>
  <si>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</si>
  <si>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</si>
  <si>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</si>
  <si>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</si>
  <si>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</si>
  <si>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</si>
  <si>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</si>
  <si>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</si>
  <si>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</si>
  <si>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</si>
  <si>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</si>
  <si>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</si>
  <si>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</si>
  <si>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</si>
  <si>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</si>
  <si>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</si>
  <si>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</si>
  <si>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</si>
  <si>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</si>
  <si>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</si>
  <si>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</si>
  <si>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</si>
  <si>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</si>
  <si>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</si>
  <si>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</si>
  <si>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</si>
  <si>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</si>
  <si>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</si>
  <si>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</si>
  <si>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</si>
  <si>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</si>
  <si>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</si>
  <si>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</si>
  <si>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</si>
  <si>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</si>
  <si>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</si>
  <si>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</si>
  <si>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</si>
  <si>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</si>
  <si>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</si>
  <si>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</si>
  <si>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</si>
  <si>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</si>
  <si>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</si>
  <si>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</si>
  <si>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</si>
  <si>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</si>
  <si>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</si>
  <si>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</si>
  <si>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</si>
  <si>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</si>
  <si>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</si>
  <si>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</si>
  <si>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</si>
  <si>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</si>
  <si>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</si>
  <si>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</si>
  <si>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</si>
  <si>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</si>
  <si>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</si>
  <si>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</si>
  <si>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</si>
  <si>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</si>
  <si>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</si>
  <si>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</si>
  <si>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</si>
  <si>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</si>
  <si>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</si>
  <si>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</si>
  <si>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</si>
  <si>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</si>
  <si>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</si>
  <si>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</si>
  <si>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</si>
  <si>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</si>
  <si>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</si>
  <si>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</si>
  <si>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</si>
  <si>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</si>
  <si>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</si>
  <si>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</si>
  <si>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</si>
  <si>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</si>
  <si>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</si>
  <si>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</si>
  <si>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</si>
  <si>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</si>
  <si>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</si>
  <si>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</si>
  <si>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</si>
  <si>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</si>
  <si>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</si>
  <si>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</si>
  <si>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</si>
  <si>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</si>
  <si>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</si>
  <si>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</si>
  <si>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</si>
  <si>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</si>
  <si>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</si>
  <si>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</si>
  <si>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</si>
  <si>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</si>
  <si>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</si>
  <si>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</si>
  <si>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</si>
  <si>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</si>
  <si>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</si>
  <si>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</si>
  <si>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</si>
  <si>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</si>
  <si>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</si>
  <si>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</si>
  <si>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</si>
  <si>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</si>
  <si>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</si>
  <si>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</si>
  <si>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</si>
  <si>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</si>
  <si>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</si>
  <si>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</si>
  <si>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</si>
  <si>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</si>
  <si>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</si>
  <si>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</si>
  <si>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</si>
  <si>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</si>
  <si>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</si>
  <si>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</si>
  <si>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</si>
  <si>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</si>
  <si>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</si>
  <si>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</si>
  <si>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</si>
  <si>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</si>
  <si>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</si>
  <si>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</si>
  <si>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</si>
  <si>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</si>
  <si>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</si>
  <si>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</si>
  <si>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</si>
  <si>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</si>
  <si>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</si>
  <si>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</si>
  <si>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</si>
  <si>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</si>
  <si>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</si>
  <si>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</si>
  <si>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</si>
  <si>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</si>
  <si>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</si>
  <si>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</si>
  <si>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</si>
  <si>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</si>
  <si>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</si>
  <si>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</si>
  <si>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</si>
  <si>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</si>
  <si>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</si>
  <si>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</si>
  <si>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</si>
  <si>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</si>
  <si>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</si>
  <si>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</si>
  <si>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</si>
  <si>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</si>
  <si>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</si>
  <si>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</si>
  <si>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</si>
  <si>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</si>
  <si>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</si>
  <si>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</si>
  <si>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</si>
  <si>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</si>
  <si>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</si>
  <si>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</si>
  <si>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</si>
  <si>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</si>
  <si>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</si>
  <si>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</si>
  <si>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</si>
  <si>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</si>
  <si>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</si>
  <si>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</si>
  <si>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</si>
  <si>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</si>
  <si>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</si>
  <si>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</si>
  <si>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</si>
  <si>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</si>
  <si>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</si>
  <si>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</si>
  <si>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</si>
  <si>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</si>
  <si>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</si>
  <si>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</si>
  <si>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</si>
  <si>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</si>
  <si>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</si>
  <si>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</si>
  <si>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</si>
  <si>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</si>
  <si>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</si>
  <si>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</si>
  <si>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</si>
  <si>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</si>
  <si>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</si>
  <si>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</si>
  <si>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</si>
  <si>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</si>
  <si>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</si>
  <si>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</si>
  <si>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</si>
  <si>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</si>
  <si>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</si>
  <si>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</si>
  <si>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</si>
  <si>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</si>
  <si>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</si>
  <si>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</si>
  <si>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</si>
  <si>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</si>
  <si>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</si>
  <si>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</si>
  <si>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</si>
  <si>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</si>
  <si>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</si>
  <si>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</si>
  <si>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</si>
  <si>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</si>
  <si>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</si>
  <si>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</si>
  <si>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</si>
  <si>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</si>
  <si>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</si>
  <si>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</si>
  <si>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</si>
  <si>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</si>
  <si>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</si>
  <si>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</si>
  <si>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</si>
  <si>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</si>
  <si>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</si>
  <si>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</si>
  <si>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</si>
  <si>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</si>
  <si>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</si>
  <si>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</si>
  <si>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</si>
  <si>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</si>
  <si>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</si>
  <si>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</si>
  <si>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</si>
  <si>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</si>
  <si>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</si>
  <si>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</si>
  <si>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</si>
  <si>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</si>
  <si>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</si>
  <si>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</si>
  <si>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</si>
  <si>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</si>
  <si>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</si>
  <si>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</si>
  <si>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</si>
  <si>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</si>
  <si>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</si>
  <si>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</si>
  <si>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</si>
  <si>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</si>
  <si>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</si>
  <si>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</si>
  <si>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</si>
  <si>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</si>
  <si>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</si>
  <si>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</si>
  <si>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</si>
  <si>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</si>
  <si>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</si>
  <si>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</si>
  <si>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</si>
  <si>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</si>
  <si>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</si>
  <si>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</si>
  <si>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</si>
  <si>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</si>
  <si>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</si>
  <si>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</si>
  <si>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</si>
  <si>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</si>
  <si>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</si>
  <si>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</si>
  <si>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</si>
  <si>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</si>
  <si>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</si>
  <si>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</si>
  <si>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</si>
  <si>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</si>
  <si>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</si>
  <si>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</si>
  <si>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</si>
  <si>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</si>
  <si>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</si>
  <si>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</si>
  <si>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</si>
  <si>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</si>
  <si>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</si>
  <si>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</si>
  <si>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</si>
  <si>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</si>
  <si>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</si>
  <si>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</si>
  <si>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</si>
  <si>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</si>
  <si>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</si>
  <si>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</si>
  <si>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</si>
  <si>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</si>
  <si>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</si>
  <si>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</si>
  <si>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</si>
  <si>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</si>
  <si>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</si>
  <si>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</si>
  <si>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</si>
  <si>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</si>
  <si>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</si>
  <si>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</si>
  <si>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</si>
  <si>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</si>
  <si>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</si>
  <si>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</si>
  <si>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</si>
  <si>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</si>
  <si>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</si>
  <si>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</si>
  <si>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</si>
  <si>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</si>
  <si>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</si>
  <si>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</si>
  <si>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</si>
  <si>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</si>
  <si>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</si>
  <si>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</si>
  <si>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</si>
  <si>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</si>
  <si>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</si>
  <si>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</si>
  <si>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</si>
  <si>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</si>
  <si>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</si>
  <si>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</si>
  <si>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</si>
  <si>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</si>
  <si>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</si>
  <si>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</si>
  <si>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</si>
  <si>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</si>
  <si>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</si>
  <si>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</si>
  <si>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</si>
  <si>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</si>
  <si>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</si>
  <si>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</si>
  <si>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</si>
  <si>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</si>
  <si>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</si>
  <si>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</si>
  <si>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</si>
  <si>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</si>
  <si>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</si>
  <si>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</si>
  <si>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</si>
  <si>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</si>
  <si>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</si>
  <si>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</si>
  <si>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</si>
  <si>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</si>
  <si>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</si>
  <si>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</si>
  <si>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</si>
  <si>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</si>
  <si>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</si>
  <si>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</si>
  <si>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</si>
  <si>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</si>
  <si>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</si>
  <si>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</si>
  <si>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</si>
  <si>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</si>
  <si>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</si>
  <si>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</si>
  <si>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</si>
  <si>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</si>
  <si>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</si>
  <si>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</si>
  <si>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</si>
  <si>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</si>
  <si>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</si>
  <si>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</si>
  <si>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</si>
  <si>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</si>
  <si>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</si>
  <si>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</si>
  <si>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</si>
  <si>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</si>
  <si>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</si>
  <si>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</si>
  <si>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</si>
  <si>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</si>
  <si>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</si>
  <si>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</si>
  <si>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</si>
  <si>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</si>
  <si>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</si>
  <si>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</si>
  <si>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</si>
  <si>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</si>
  <si>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</si>
  <si>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</si>
  <si>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</si>
  <si>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</si>
  <si>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</si>
  <si>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</si>
  <si>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</si>
  <si>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</si>
  <si>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</si>
  <si>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</si>
  <si>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</si>
  <si>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</si>
  <si>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</si>
  <si>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</si>
  <si>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</si>
  <si>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</si>
  <si>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</si>
  <si>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</si>
  <si>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</si>
  <si>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</si>
  <si>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</si>
  <si>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</si>
  <si>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</si>
  <si>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</si>
  <si>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</si>
  <si>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</si>
  <si>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</si>
  <si>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</si>
  <si>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</si>
  <si>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</si>
  <si>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</si>
  <si>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</si>
  <si>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</si>
  <si>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</si>
  <si>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</si>
  <si>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</si>
  <si>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</si>
  <si>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</si>
  <si>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</si>
  <si>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</si>
  <si>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</si>
  <si>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</si>
  <si>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</si>
  <si>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</si>
  <si>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</si>
  <si>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</si>
  <si>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</si>
  <si>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</si>
  <si>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</si>
  <si>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</si>
  <si>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</si>
  <si>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</si>
  <si>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</si>
  <si>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</si>
  <si>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</si>
  <si>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</si>
  <si>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</si>
  <si>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</si>
  <si>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</si>
  <si>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</si>
  <si>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</si>
  <si>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</si>
  <si>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</si>
  <si>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</si>
  <si>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</si>
  <si>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</si>
  <si>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</si>
  <si>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</si>
  <si>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</si>
  <si>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</si>
  <si>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</si>
  <si>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</si>
  <si>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</si>
  <si>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</si>
  <si>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</si>
  <si>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</si>
  <si>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</si>
  <si>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</si>
  <si>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</si>
  <si>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</si>
  <si>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</si>
  <si>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</si>
  <si>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</si>
  <si>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</si>
  <si>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</si>
  <si>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</si>
  <si>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</si>
  <si>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</si>
  <si>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</si>
  <si>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</si>
  <si>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</si>
  <si>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</si>
  <si>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</si>
  <si>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</si>
  <si>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</si>
  <si>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</si>
  <si>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</si>
  <si>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</si>
  <si>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</si>
  <si>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</si>
  <si>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</si>
  <si>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</si>
  <si>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</si>
  <si>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</si>
  <si>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</si>
  <si>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</si>
  <si>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</si>
  <si>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</si>
  <si>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</si>
  <si>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</si>
  <si>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</si>
  <si>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</si>
  <si>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</si>
  <si>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</si>
  <si>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</si>
  <si>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</si>
  <si>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</si>
  <si>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</si>
  <si>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</si>
  <si>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</si>
  <si>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</si>
  <si>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</si>
  <si>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</si>
  <si>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</si>
  <si>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</si>
  <si>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</si>
  <si>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</si>
  <si>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</si>
  <si>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</si>
  <si>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</si>
  <si>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</si>
  <si>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</si>
  <si>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</si>
  <si>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</si>
  <si>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</si>
  <si>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</si>
  <si>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</si>
  <si>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</si>
  <si>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</si>
  <si>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</si>
  <si>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</si>
  <si>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</si>
  <si>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</si>
  <si>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</si>
  <si>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</si>
  <si>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</si>
  <si>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</si>
  <si>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</si>
  <si>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</si>
  <si>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</si>
  <si>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</si>
  <si>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</si>
  <si>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</si>
  <si>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</si>
  <si>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</si>
  <si>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</si>
  <si>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</si>
  <si>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</si>
  <si>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</si>
  <si>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</si>
  <si>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</si>
  <si>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</si>
  <si>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</si>
  <si>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</si>
  <si>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</si>
  <si>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</si>
  <si>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</si>
  <si>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</si>
  <si>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</si>
  <si>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</si>
  <si>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</si>
  <si>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</si>
  <si>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</si>
  <si>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</si>
  <si>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</si>
  <si>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</si>
  <si>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</si>
  <si>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</si>
  <si>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</si>
  <si>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</si>
  <si>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</si>
  <si>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</si>
  <si>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</si>
  <si>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</si>
  <si>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</si>
  <si>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</si>
  <si>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</si>
  <si>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</si>
  <si>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</si>
  <si>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</si>
  <si>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</si>
  <si>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</si>
  <si>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</si>
  <si>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</si>
  <si>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</si>
  <si>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</si>
  <si>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</si>
  <si>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</si>
  <si>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</si>
  <si>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</si>
  <si>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</si>
  <si>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</si>
  <si>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</si>
  <si>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</si>
  <si>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</si>
  <si>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</si>
  <si>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</si>
  <si>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</si>
  <si>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</si>
  <si>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</si>
  <si>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</si>
  <si>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</si>
  <si>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</si>
  <si>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</si>
  <si>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</si>
  <si>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</si>
  <si>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</si>
  <si>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</si>
  <si>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</si>
  <si>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</si>
  <si>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</si>
  <si>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</si>
  <si>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</si>
  <si>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</si>
  <si>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</si>
  <si>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</si>
  <si>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</si>
  <si>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</si>
  <si>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</si>
  <si>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</si>
  <si>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</si>
  <si>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</si>
  <si>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</si>
  <si>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</si>
  <si>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</si>
  <si>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</si>
  <si>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</si>
  <si>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</si>
  <si>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</si>
  <si>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</si>
  <si>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</si>
  <si>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</si>
  <si>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</si>
  <si>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</si>
  <si>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</si>
  <si>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</si>
  <si>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</si>
  <si>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</si>
  <si>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</si>
  <si>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</si>
  <si>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</si>
  <si>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</si>
  <si>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</si>
  <si>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</si>
  <si>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</si>
  <si>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</si>
  <si>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</si>
  <si>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</si>
  <si>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</si>
  <si>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</si>
  <si>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</si>
  <si>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</si>
  <si>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</si>
  <si>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</si>
  <si>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</si>
  <si>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</si>
  <si>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</si>
  <si>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</si>
  <si>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</si>
  <si>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</si>
  <si>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</si>
  <si>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</si>
  <si>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</si>
  <si>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</si>
  <si>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</si>
  <si>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</si>
  <si>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</si>
  <si>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</si>
  <si>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</si>
  <si>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</si>
  <si>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</si>
  <si>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</si>
  <si>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</si>
  <si>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</si>
  <si>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</si>
  <si>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</si>
  <si>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</si>
  <si>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</si>
  <si>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</si>
  <si>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</si>
  <si>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</si>
  <si>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</si>
  <si>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</si>
  <si>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</si>
  <si>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</si>
  <si>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</si>
  <si>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</si>
  <si>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</si>
  <si>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</si>
  <si>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</si>
  <si>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</si>
  <si>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</si>
  <si>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</si>
  <si>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</si>
  <si>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</si>
  <si>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</si>
  <si>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</si>
  <si>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</si>
  <si>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</si>
  <si>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</si>
  <si>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</si>
  <si>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</si>
  <si>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</si>
  <si>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</si>
  <si>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</si>
  <si>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</si>
  <si>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</si>
  <si>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</si>
  <si>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</si>
  <si>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</si>
  <si>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</si>
  <si>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</si>
  <si>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</si>
  <si>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</si>
  <si>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</si>
  <si>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</si>
  <si>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</si>
  <si>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</si>
  <si>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</si>
  <si>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</si>
  <si>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</si>
  <si>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</si>
  <si>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</si>
  <si>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</si>
  <si>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</si>
  <si>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</si>
  <si>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</si>
  <si>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</si>
  <si>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</si>
  <si>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</si>
  <si>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</si>
  <si>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</si>
  <si>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</si>
  <si>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</si>
  <si>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</si>
  <si>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</si>
  <si>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</si>
  <si>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</si>
  <si>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</si>
  <si>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</si>
  <si>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</si>
  <si>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</si>
  <si>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</si>
  <si>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</si>
  <si>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</si>
  <si>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</si>
  <si>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</si>
  <si>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</si>
  <si>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</si>
  <si>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</si>
  <si>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</si>
  <si>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</si>
  <si>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</si>
  <si>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</si>
  <si>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</si>
  <si>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</si>
  <si>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</si>
  <si>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</si>
  <si>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</si>
  <si>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</si>
  <si>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</si>
  <si>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</si>
  <si>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</si>
  <si>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</si>
  <si>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</si>
  <si>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</si>
  <si>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</si>
  <si>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</si>
  <si>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</si>
  <si>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</si>
  <si>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</si>
  <si>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</si>
  <si>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</si>
  <si>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</si>
  <si>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</si>
  <si>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</si>
  <si>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</si>
  <si>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</si>
  <si>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</si>
  <si>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</si>
  <si>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</si>
  <si>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</si>
  <si>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</si>
  <si>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</si>
  <si>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</si>
  <si>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</si>
  <si>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</si>
  <si>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</si>
  <si>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</si>
  <si>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</si>
  <si>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</si>
  <si>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</si>
  <si>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</si>
  <si>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</si>
  <si>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</si>
  <si>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</si>
  <si>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</si>
  <si>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</si>
  <si>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</si>
  <si>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</si>
  <si>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</si>
  <si>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</si>
  <si>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</si>
  <si>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</si>
  <si>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</si>
  <si>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</si>
  <si>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</si>
  <si>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</si>
  <si>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</si>
  <si>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</si>
  <si>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</si>
  <si>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</si>
  <si>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</si>
  <si>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</si>
  <si>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</si>
  <si>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</si>
  <si>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</si>
  <si>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</si>
  <si>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</si>
  <si>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</si>
  <si>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</si>
  <si>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</si>
  <si>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</si>
  <si>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</si>
  <si>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</si>
  <si>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</si>
  <si>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</si>
  <si>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</si>
  <si>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</si>
  <si>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</si>
  <si>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</si>
  <si>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</si>
  <si>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</si>
  <si>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</si>
  <si>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</si>
  <si>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</si>
  <si>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</si>
  <si>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</si>
  <si>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</si>
  <si>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</si>
  <si>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</si>
  <si>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</si>
  <si>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</si>
  <si>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</si>
  <si>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</si>
  <si>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</si>
  <si>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</si>
  <si>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</si>
  <si>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</si>
  <si>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</si>
  <si>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</si>
  <si>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</si>
  <si>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</si>
  <si>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</si>
  <si>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</si>
  <si>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</si>
  <si>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</si>
  <si>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</si>
  <si>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</si>
  <si>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</si>
  <si>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</si>
  <si>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</si>
  <si>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</si>
  <si>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</si>
  <si>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</si>
  <si>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</si>
  <si>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</si>
  <si>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</si>
  <si>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</si>
  <si>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</si>
  <si>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</si>
  <si>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</si>
  <si>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</si>
  <si>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</si>
  <si>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</si>
  <si>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</si>
  <si>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</si>
  <si>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</si>
  <si>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</si>
  <si>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</si>
  <si>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</si>
  <si>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</si>
  <si>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</si>
  <si>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</si>
  <si>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</si>
  <si>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</si>
  <si>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</si>
  <si>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</si>
  <si>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</si>
  <si>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</si>
  <si>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</si>
  <si>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</si>
  <si>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</si>
  <si>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</si>
  <si>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</si>
  <si>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</si>
  <si>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</si>
  <si>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</si>
  <si>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</si>
  <si>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</si>
  <si>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</si>
  <si>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</si>
  <si>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</si>
  <si>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</si>
  <si>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</si>
  <si>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</si>
  <si>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</si>
  <si>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</si>
  <si>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</si>
  <si>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</si>
  <si>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</si>
  <si>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</si>
  <si>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</si>
  <si>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</si>
  <si>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</si>
  <si>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</si>
  <si>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</si>
  <si>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</si>
  <si>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</si>
  <si>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</si>
  <si>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</si>
  <si>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</si>
  <si>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</si>
  <si>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</si>
  <si>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</si>
  <si>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</si>
  <si>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</si>
  <si>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</si>
  <si>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</si>
  <si>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</si>
  <si>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</si>
  <si>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</si>
  <si>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</si>
  <si>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</si>
  <si>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</si>
  <si>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</si>
  <si>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</si>
  <si>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</si>
  <si>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</si>
  <si>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</si>
  <si>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</si>
  <si>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</si>
  <si>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</si>
  <si>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</si>
  <si>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</si>
  <si>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</si>
  <si>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</si>
  <si>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</si>
  <si>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</si>
  <si>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</si>
  <si>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</si>
  <si>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</si>
  <si>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</si>
  <si>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</si>
  <si>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</si>
  <si>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</si>
  <si>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</si>
  <si>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</si>
  <si>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</si>
  <si>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</si>
  <si>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</si>
  <si>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</si>
  <si>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</si>
  <si>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</si>
  <si>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</si>
  <si>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</si>
  <si>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</si>
  <si>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</si>
  <si>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</si>
  <si>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</si>
  <si>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</si>
  <si>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</si>
  <si>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</si>
  <si>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</si>
  <si>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</si>
  <si>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</si>
  <si>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</si>
  <si>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</si>
  <si>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</si>
  <si>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</si>
  <si>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</si>
  <si>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</si>
  <si>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</si>
  <si>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</si>
  <si>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</si>
  <si>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</si>
  <si>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</si>
  <si>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</si>
  <si>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</si>
  <si>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</si>
  <si>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</si>
  <si>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</si>
  <si>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</si>
  <si>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</si>
  <si>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</si>
  <si>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</si>
  <si>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</si>
  <si>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</si>
  <si>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</si>
  <si>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</si>
  <si>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</si>
  <si>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</si>
  <si>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</si>
  <si>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</si>
  <si>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</si>
  <si>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</si>
  <si>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</si>
  <si>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</si>
  <si>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</si>
  <si>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</si>
  <si>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</si>
  <si>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</si>
  <si>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</si>
  <si>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</si>
  <si>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</si>
  <si>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</si>
  <si>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</si>
  <si>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</si>
  <si>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</si>
  <si>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</si>
  <si>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</si>
  <si>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</si>
  <si>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</si>
  <si>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</si>
  <si>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</si>
  <si>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</si>
  <si>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</si>
  <si>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</si>
  <si>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</si>
  <si>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</si>
  <si>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</si>
  <si>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</si>
  <si>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</si>
  <si>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</si>
  <si>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</si>
  <si>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</si>
  <si>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</si>
  <si>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</si>
  <si>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</si>
  <si>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</si>
  <si>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</si>
  <si>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</si>
  <si>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</si>
  <si>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</si>
  <si>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</si>
  <si>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</si>
  <si>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</si>
  <si>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</si>
  <si>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</si>
  <si>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</si>
  <si>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</si>
  <si>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</si>
  <si>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</si>
  <si>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</si>
  <si>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</si>
  <si>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</si>
  <si>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</si>
  <si>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</si>
  <si>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</si>
  <si>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</si>
  <si>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</si>
  <si>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</si>
  <si>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</si>
  <si>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</si>
  <si>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</si>
  <si>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</si>
  <si>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</si>
  <si>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</si>
  <si>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</si>
  <si>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</si>
  <si>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</si>
  <si>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</si>
  <si>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</si>
  <si>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</si>
  <si>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</si>
  <si>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</si>
  <si>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</si>
  <si>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</si>
  <si>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</si>
  <si>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</si>
  <si>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</si>
  <si>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</si>
  <si>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</si>
  <si>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</si>
  <si>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</si>
  <si>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</si>
  <si>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</si>
  <si>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</si>
  <si>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</si>
  <si>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</si>
  <si>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</si>
  <si>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</si>
  <si>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</si>
  <si>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</si>
  <si>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</si>
  <si>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</si>
  <si>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</si>
  <si>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</si>
  <si>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</si>
  <si>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</si>
  <si>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</si>
  <si>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</si>
  <si>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</si>
  <si>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</si>
  <si>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</si>
  <si>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</si>
  <si>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</si>
  <si>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</si>
  <si>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</si>
  <si>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</si>
  <si>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</si>
  <si>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</si>
  <si>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</si>
  <si>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</si>
  <si>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</si>
  <si>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</si>
  <si>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</si>
  <si>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</si>
  <si>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</si>
  <si>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</si>
  <si>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</si>
  <si>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</si>
  <si>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</si>
  <si>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</si>
  <si>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</si>
  <si>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</si>
  <si>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</si>
  <si>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</si>
  <si>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</si>
  <si>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</si>
  <si>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</si>
  <si>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</si>
  <si>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</si>
  <si>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</si>
  <si>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</si>
  <si>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</si>
  <si>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</si>
  <si>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</si>
  <si>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</si>
  <si>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</si>
  <si>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</si>
  <si>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</si>
  <si>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</si>
  <si>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</si>
  <si>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</si>
  <si>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</si>
  <si>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</si>
  <si>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</si>
  <si>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</si>
  <si>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</si>
  <si>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</si>
  <si>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</si>
  <si>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</si>
  <si>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</si>
  <si>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</si>
  <si>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</si>
  <si>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</si>
  <si>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</si>
  <si>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</si>
  <si>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</si>
  <si>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</si>
  <si>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</si>
  <si>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</si>
  <si>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</si>
  <si>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</si>
  <si>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</si>
  <si>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</si>
  <si>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</si>
  <si>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</si>
  <si>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</si>
  <si>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</si>
  <si>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</si>
  <si>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</si>
  <si>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</si>
  <si>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</si>
  <si>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</si>
  <si>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</si>
  <si>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</si>
  <si>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</si>
  <si>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</si>
  <si>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</si>
  <si>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</si>
  <si>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</si>
  <si>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</si>
  <si>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</si>
  <si>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</si>
  <si>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</si>
  <si>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</si>
  <si>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</si>
  <si>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</si>
  <si>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</si>
  <si>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</si>
  <si>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</si>
  <si>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</si>
  <si>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</si>
  <si>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</si>
  <si>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</si>
  <si>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</si>
  <si>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</si>
  <si>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</si>
  <si>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</si>
  <si>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</si>
  <si>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</si>
  <si>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</si>
  <si>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</si>
  <si>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</si>
  <si>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</si>
  <si>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</si>
  <si>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</si>
  <si>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</si>
  <si>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</si>
  <si>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</si>
  <si>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</si>
  <si>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</si>
  <si>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</si>
  <si>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</si>
  <si>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</si>
  <si>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</si>
  <si>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</si>
  <si>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</si>
  <si>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</si>
  <si>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</si>
  <si>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</si>
  <si>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</si>
  <si>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</si>
  <si>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</si>
  <si>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</si>
  <si>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</si>
  <si>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</si>
  <si>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</si>
  <si>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</si>
  <si>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</si>
  <si>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</si>
  <si>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</si>
  <si>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</si>
  <si>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</si>
  <si>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</si>
  <si>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</si>
  <si>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</si>
  <si>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</si>
  <si>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</si>
  <si>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</si>
  <si>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</si>
  <si>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</si>
  <si>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</si>
  <si>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</si>
  <si>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</si>
  <si>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</si>
  <si>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</si>
  <si>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</si>
  <si>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</si>
  <si>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</si>
  <si>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</si>
  <si>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</si>
  <si>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</si>
  <si>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</si>
  <si>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</si>
  <si>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</si>
  <si>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</si>
  <si>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</si>
  <si>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</si>
  <si>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</si>
  <si>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</si>
  <si>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</si>
  <si>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</si>
  <si>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</si>
  <si>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</si>
  <si>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</si>
  <si>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</si>
  <si>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</si>
  <si>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</si>
  <si>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</si>
  <si>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</si>
  <si>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</si>
  <si>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</si>
  <si>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</si>
  <si>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</si>
  <si>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</si>
  <si>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</si>
  <si>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</si>
  <si>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</si>
  <si>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</si>
  <si>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</si>
  <si>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</si>
  <si>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</si>
  <si>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</si>
  <si>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</si>
  <si>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</si>
  <si>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</si>
  <si>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</si>
  <si>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</si>
  <si>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</si>
  <si>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</si>
  <si>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</si>
  <si>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</si>
  <si>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</si>
  <si>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</si>
  <si>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</si>
  <si>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</si>
  <si>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</si>
  <si>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</si>
  <si>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</si>
  <si>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</si>
  <si>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</si>
  <si>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</si>
  <si>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</si>
  <si>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</si>
  <si>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</si>
  <si>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</si>
  <si>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</si>
  <si>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</si>
  <si>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</si>
  <si>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</si>
  <si>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</si>
  <si>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</si>
  <si>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</si>
  <si>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</si>
  <si>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</si>
  <si>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</si>
  <si>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</si>
  <si>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</si>
  <si>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</si>
  <si>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</si>
  <si>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</si>
  <si>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</si>
  <si>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</si>
  <si>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</si>
  <si>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</si>
  <si>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</si>
  <si>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</si>
  <si>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</si>
  <si>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</si>
  <si>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</si>
  <si>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</si>
  <si>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</si>
  <si>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</si>
  <si>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</si>
  <si>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</si>
  <si>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</si>
  <si>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</si>
  <si>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</si>
  <si>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</si>
  <si>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</si>
  <si>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</si>
  <si>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</si>
  <si>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</si>
  <si>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</si>
  <si>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</si>
  <si>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</si>
  <si>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</si>
  <si>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</si>
  <si>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</si>
  <si>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</si>
  <si>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</si>
  <si>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</si>
  <si>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</si>
  <si>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</si>
  <si>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</si>
  <si>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</si>
  <si>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</si>
  <si>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</si>
  <si>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</si>
  <si>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</si>
  <si>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</si>
  <si>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</si>
  <si>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</si>
  <si>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</si>
  <si>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</si>
  <si>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</si>
  <si>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</si>
  <si>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</si>
  <si>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</si>
  <si>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</si>
  <si>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</si>
  <si>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</si>
  <si>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</si>
  <si>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</si>
  <si>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</si>
  <si>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</si>
  <si>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</si>
  <si>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</si>
  <si>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</si>
  <si>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</si>
  <si>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</si>
  <si>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</si>
  <si>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</si>
  <si>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</si>
  <si>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</si>
  <si>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</si>
  <si>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</si>
  <si>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</si>
  <si>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</si>
  <si>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</si>
  <si>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</si>
  <si>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</si>
  <si>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</si>
  <si>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</si>
  <si>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</si>
  <si>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</si>
  <si>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</si>
  <si>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</si>
  <si>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</si>
  <si>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</si>
  <si>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</si>
  <si>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</si>
  <si>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</si>
  <si>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</si>
  <si>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</si>
  <si>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</si>
  <si>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</si>
  <si>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</si>
  <si>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</si>
  <si>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</si>
  <si>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</si>
  <si>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</si>
  <si>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</si>
  <si>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</si>
  <si>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</si>
  <si>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</si>
  <si>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</si>
  <si>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</si>
  <si>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</si>
  <si>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</si>
  <si>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</si>
  <si>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</si>
  <si>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</si>
  <si>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</si>
  <si>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</si>
  <si>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</si>
  <si>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</si>
  <si>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</si>
  <si>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</si>
  <si>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</si>
  <si>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</si>
  <si>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</si>
  <si>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</si>
  <si>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</si>
  <si>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</si>
  <si>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</si>
  <si>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</si>
  <si>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</si>
  <si>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</si>
  <si>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</si>
  <si>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</si>
  <si>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</si>
  <si>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</si>
  <si>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</si>
  <si>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</si>
  <si>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</si>
  <si>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</si>
  <si>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</si>
  <si>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</si>
  <si>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</si>
  <si>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</si>
  <si>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</si>
  <si>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</si>
  <si>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</si>
  <si>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</si>
  <si>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</si>
  <si>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</si>
  <si>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</si>
  <si>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</si>
  <si>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</si>
  <si>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</si>
  <si>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</si>
  <si>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</si>
  <si>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</si>
  <si>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</si>
  <si>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</si>
  <si>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</si>
  <si>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</si>
  <si>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</si>
  <si>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</si>
  <si>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</si>
  <si>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</si>
  <si>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</si>
  <si>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</si>
  <si>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</si>
  <si>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</si>
  <si>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</si>
  <si>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</si>
  <si>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</si>
  <si>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</si>
  <si>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</si>
  <si>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</si>
  <si>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</si>
  <si>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</si>
  <si>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</si>
  <si>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</si>
  <si>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</si>
  <si>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</si>
  <si>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</si>
  <si>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</si>
  <si>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</si>
  <si>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</si>
  <si>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</si>
  <si>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</si>
  <si>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</si>
  <si>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</si>
  <si>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</si>
  <si>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</si>
  <si>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</si>
  <si>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</si>
  <si>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</si>
  <si>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</si>
  <si>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</si>
  <si>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</si>
  <si>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</si>
  <si>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</si>
  <si>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</si>
  <si>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</si>
  <si>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</si>
  <si>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</si>
  <si>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</si>
  <si>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</si>
  <si>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</si>
  <si>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</si>
  <si>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</si>
  <si>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</si>
  <si>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</si>
  <si>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</si>
  <si>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</si>
  <si>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</si>
  <si>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</si>
  <si>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</si>
  <si>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</si>
  <si>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</si>
  <si>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</si>
  <si>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</si>
  <si>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</si>
  <si>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</si>
  <si>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</si>
  <si>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</si>
  <si>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</si>
  <si>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</si>
  <si>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</si>
  <si>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</si>
  <si>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</si>
  <si>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</si>
  <si>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</si>
  <si>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</si>
  <si>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</si>
  <si>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</si>
  <si>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</si>
  <si>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</si>
  <si>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</si>
  <si>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</si>
  <si>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</si>
  <si>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</si>
  <si>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</si>
  <si>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</si>
  <si>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</si>
  <si>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</si>
  <si>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</si>
  <si>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</si>
  <si>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</si>
  <si>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</si>
  <si>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</si>
  <si>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</si>
  <si>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</si>
  <si>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</si>
  <si>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</si>
  <si>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</si>
  <si>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</si>
  <si>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</si>
  <si>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</si>
  <si>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</si>
  <si>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</si>
  <si>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</si>
  <si>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</si>
  <si>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</si>
  <si>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</si>
  <si>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</si>
  <si>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</si>
  <si>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</si>
  <si>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</si>
  <si>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</si>
  <si>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</si>
  <si>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</si>
  <si>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</si>
  <si>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</si>
  <si>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</si>
  <si>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</si>
  <si>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</si>
  <si>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</si>
  <si>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</si>
  <si>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</si>
  <si>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</si>
  <si>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</si>
  <si>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</si>
  <si>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</si>
  <si>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</si>
  <si>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</si>
  <si>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</si>
  <si>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</si>
  <si>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</si>
  <si>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</si>
  <si>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</si>
  <si>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</si>
  <si>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</si>
  <si>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</si>
  <si>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</si>
  <si>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</si>
  <si>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</si>
  <si>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</si>
  <si>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</si>
  <si>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</si>
  <si>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</si>
  <si>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</si>
  <si>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</si>
  <si>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</si>
  <si>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</si>
  <si>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</si>
  <si>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</si>
  <si>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</si>
  <si>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</si>
  <si>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</si>
  <si>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</si>
  <si>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</si>
  <si>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</si>
  <si>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</si>
  <si>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</si>
  <si>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</si>
  <si>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</si>
  <si>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</si>
  <si>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</si>
  <si>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</si>
  <si>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</si>
  <si>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</si>
  <si>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</si>
  <si>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</si>
  <si>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</si>
  <si>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</si>
  <si>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</si>
  <si>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</si>
  <si>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</si>
  <si>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</si>
  <si>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</si>
  <si>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</si>
  <si>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</si>
  <si>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</si>
  <si>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</si>
  <si>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</si>
  <si>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</si>
  <si>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</si>
  <si>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</si>
  <si>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</si>
  <si>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</si>
  <si>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</si>
  <si>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</si>
  <si>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</si>
  <si>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</si>
  <si>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</si>
  <si>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</si>
  <si>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</si>
  <si>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</si>
  <si>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</si>
  <si>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</si>
  <si>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</si>
  <si>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</si>
  <si>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</si>
  <si>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</si>
  <si>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</si>
  <si>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</si>
  <si>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</si>
  <si>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</si>
  <si>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</si>
  <si>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</si>
  <si>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</si>
  <si>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</si>
  <si>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</si>
  <si>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</si>
  <si>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</si>
  <si>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</si>
  <si>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</si>
  <si>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</si>
  <si>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</si>
  <si>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</si>
  <si>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</si>
  <si>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</si>
  <si>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</si>
  <si>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</si>
  <si>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</si>
  <si>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</si>
  <si>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</si>
  <si>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</si>
  <si>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</si>
  <si>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</si>
  <si>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</si>
  <si>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</si>
  <si>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</si>
  <si>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</si>
  <si>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</si>
  <si>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</si>
  <si>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</si>
  <si>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</si>
  <si>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</si>
  <si>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</si>
  <si>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</si>
  <si>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</si>
  <si>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</si>
  <si>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</si>
  <si>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</si>
  <si>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</si>
  <si>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</si>
  <si>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</si>
  <si>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</si>
  <si>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</si>
  <si>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</si>
  <si>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</si>
  <si>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</si>
  <si>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</si>
  <si>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</si>
  <si>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</si>
  <si>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</si>
  <si>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</si>
  <si>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</si>
  <si>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</si>
  <si>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</si>
  <si>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</si>
  <si>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</si>
  <si>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</si>
  <si>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</si>
  <si>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</si>
  <si>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</si>
  <si>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</si>
  <si>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</si>
  <si>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</si>
  <si>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</si>
  <si>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</si>
  <si>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</si>
  <si>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</si>
  <si>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</si>
  <si>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</si>
  <si>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</si>
  <si>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</si>
  <si>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</si>
  <si>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</si>
  <si>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</si>
  <si>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</si>
  <si>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</si>
  <si>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</si>
  <si>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</si>
  <si>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</si>
  <si>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</si>
  <si>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</si>
  <si>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</si>
  <si>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</si>
  <si>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</si>
  <si>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</si>
  <si>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</si>
  <si>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</si>
  <si>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</si>
  <si>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</si>
  <si>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</si>
  <si>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</si>
  <si>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</si>
  <si>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</si>
  <si>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</si>
  <si>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</si>
  <si>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</si>
  <si>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</si>
  <si>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</si>
  <si>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</si>
  <si>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</si>
  <si>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</si>
  <si>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</si>
  <si>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</si>
  <si>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</si>
  <si>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</si>
  <si>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</si>
  <si>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</si>
  <si>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</si>
  <si>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</si>
  <si>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</si>
  <si>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</si>
  <si>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</si>
  <si>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</si>
  <si>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</si>
  <si>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</si>
  <si>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</si>
  <si>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</si>
  <si>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</si>
  <si>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</si>
  <si>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</si>
  <si>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</si>
  <si>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</si>
  <si>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</si>
  <si>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</si>
  <si>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</si>
  <si>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</si>
  <si>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</si>
  <si>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</si>
  <si>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</si>
  <si>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</si>
  <si>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</si>
  <si>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</si>
  <si>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</si>
  <si>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</si>
  <si>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</si>
  <si>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</si>
  <si>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</si>
  <si>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</si>
  <si>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</si>
  <si>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</si>
  <si>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</si>
  <si>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</si>
  <si>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</si>
  <si>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</si>
  <si>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</si>
  <si>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</si>
  <si>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</si>
  <si>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</si>
  <si>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</si>
  <si>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</si>
  <si>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</si>
  <si>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</si>
  <si>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</si>
  <si>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</si>
  <si>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</si>
  <si>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</si>
  <si>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</si>
  <si>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</si>
  <si>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</si>
  <si>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</si>
  <si>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</si>
  <si>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</si>
  <si>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</si>
  <si>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</si>
  <si>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</si>
  <si>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</si>
  <si>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</si>
  <si>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</si>
  <si>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</si>
  <si>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</si>
  <si>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</si>
  <si>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</si>
  <si>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</si>
  <si>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</si>
  <si>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</si>
  <si>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</si>
  <si>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</si>
  <si>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</si>
  <si>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</si>
  <si>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</si>
  <si>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</si>
  <si>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</si>
  <si>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</si>
  <si>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</si>
  <si>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</si>
  <si>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</si>
  <si>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</si>
  <si>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</si>
  <si>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</si>
  <si>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</si>
  <si>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</si>
  <si>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</si>
  <si>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</si>
  <si>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</si>
  <si>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</si>
  <si>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</si>
  <si>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</si>
  <si>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</si>
  <si>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</si>
  <si>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</si>
  <si>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</si>
  <si>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</si>
  <si>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</si>
  <si>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</si>
  <si>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</si>
  <si>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</si>
  <si>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</si>
  <si>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</si>
  <si>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</si>
  <si>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</si>
  <si>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</si>
  <si>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</si>
  <si>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</si>
  <si>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</si>
  <si>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</si>
  <si>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</si>
  <si>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</si>
  <si>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</si>
  <si>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</si>
  <si>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</si>
  <si>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</si>
  <si>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</si>
  <si>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</si>
  <si>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</si>
  <si>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</si>
  <si>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</si>
  <si>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</si>
  <si>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</si>
  <si>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</si>
  <si>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</si>
  <si>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</si>
  <si>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</si>
  <si>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</si>
  <si>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</si>
  <si>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</si>
  <si>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</si>
  <si>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</si>
  <si>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</si>
  <si>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</si>
  <si>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</si>
  <si>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</si>
  <si>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</si>
  <si>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</si>
  <si>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</si>
  <si>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</si>
  <si>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</si>
  <si>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</si>
  <si>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</si>
  <si>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</si>
  <si>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</si>
  <si>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</si>
  <si>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</si>
  <si>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</si>
  <si>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</si>
  <si>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</si>
  <si>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</si>
  <si>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</si>
  <si>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</si>
  <si>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</si>
  <si>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</si>
  <si>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</si>
  <si>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</si>
  <si>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</si>
  <si>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</si>
  <si>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</si>
  <si>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</si>
  <si>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</si>
  <si>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</si>
  <si>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</si>
  <si>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</si>
  <si>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</si>
  <si>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</si>
  <si>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</si>
  <si>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</si>
  <si>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</si>
  <si>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</si>
  <si>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</si>
  <si>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</si>
  <si>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</si>
  <si>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</si>
  <si>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</si>
  <si>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</si>
  <si>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</si>
  <si>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</si>
  <si>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</si>
  <si>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</si>
  <si>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</si>
  <si>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</si>
  <si>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</si>
  <si>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</si>
  <si>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</si>
  <si>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</si>
  <si>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</si>
  <si>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</si>
  <si>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</si>
  <si>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</si>
  <si>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</si>
  <si>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</si>
  <si>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</si>
  <si>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</si>
  <si>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</si>
  <si>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</si>
  <si>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</si>
  <si>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</si>
  <si>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</si>
  <si>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</si>
  <si>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</si>
  <si>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</si>
  <si>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</si>
  <si>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</si>
  <si>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</si>
  <si>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</si>
  <si>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</si>
  <si>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</si>
  <si>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</si>
  <si>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</si>
  <si>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</si>
  <si>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</si>
  <si>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</si>
  <si>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</si>
  <si>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</si>
  <si>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</si>
  <si>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</si>
  <si>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</si>
  <si>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</si>
  <si>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</si>
  <si>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</si>
  <si>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</si>
  <si>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</si>
  <si>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</si>
  <si>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</si>
  <si>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</si>
  <si>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</si>
  <si>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</si>
  <si>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</si>
  <si>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</si>
  <si>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</si>
  <si>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</si>
  <si>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</si>
  <si>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</si>
  <si>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</si>
  <si>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</si>
  <si>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</si>
  <si>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</si>
  <si>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</si>
  <si>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</si>
  <si>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</si>
  <si>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</si>
  <si>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</si>
  <si>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</si>
  <si>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</si>
  <si>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</si>
  <si>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</si>
  <si>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</si>
  <si>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</si>
  <si>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</si>
  <si>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</si>
  <si>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</si>
  <si>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</si>
  <si>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</si>
  <si>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</si>
  <si>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</si>
  <si>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</si>
  <si>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</si>
  <si>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</si>
  <si>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</si>
  <si>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</si>
  <si>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</si>
  <si>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</si>
  <si>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</si>
  <si>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</si>
  <si>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</si>
  <si>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</si>
  <si>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</si>
  <si>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</si>
  <si>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</si>
  <si>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</si>
  <si>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</si>
  <si>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</si>
  <si>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</si>
  <si>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</si>
  <si>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</si>
  <si>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</si>
  <si>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</si>
  <si>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</si>
  <si>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</si>
  <si>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</si>
  <si>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</si>
  <si>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</si>
  <si>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</si>
  <si>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</si>
  <si>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</si>
  <si>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</si>
  <si>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</si>
  <si>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</si>
  <si>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</si>
  <si>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</si>
  <si>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</si>
  <si>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</si>
  <si>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</si>
  <si>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</si>
  <si>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</si>
  <si>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</si>
  <si>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</si>
  <si>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</si>
  <si>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</si>
  <si>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</si>
  <si>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</si>
  <si>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</si>
  <si>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</si>
  <si>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</si>
  <si>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</si>
  <si>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</si>
  <si>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</si>
  <si>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</si>
  <si>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</si>
  <si>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</si>
  <si>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</si>
  <si>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</si>
  <si>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</si>
  <si>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</si>
  <si>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</si>
  <si>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</si>
  <si>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</si>
  <si>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</si>
  <si>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</si>
  <si>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</si>
  <si>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</si>
  <si>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</si>
  <si>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</si>
  <si>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</si>
  <si>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</si>
  <si>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</si>
  <si>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</si>
  <si>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</si>
  <si>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</si>
  <si>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</si>
  <si>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</si>
  <si>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</si>
  <si>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</si>
  <si>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</si>
  <si>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</si>
  <si>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</si>
  <si>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</si>
  <si>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</si>
  <si>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</si>
  <si>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</si>
  <si>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</si>
  <si>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</si>
  <si>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</si>
  <si>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</si>
  <si>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</si>
  <si>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</si>
  <si>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</si>
  <si>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</si>
  <si>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</si>
  <si>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</si>
  <si>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</si>
  <si>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</si>
  <si>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</si>
  <si>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</si>
  <si>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</si>
  <si>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</si>
  <si>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</si>
  <si>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</si>
  <si>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</si>
  <si>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</si>
  <si>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</si>
  <si>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</si>
  <si>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</si>
  <si>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</si>
  <si>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</si>
  <si>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</si>
  <si>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</si>
  <si>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</si>
  <si>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</si>
  <si>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</si>
  <si>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</si>
  <si>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</si>
  <si>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</si>
  <si>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</si>
  <si>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</si>
  <si>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</si>
  <si>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</si>
  <si>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</si>
  <si>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</si>
  <si>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</si>
  <si>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</si>
  <si>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</si>
  <si>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</si>
  <si>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</si>
  <si>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</si>
  <si>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</si>
  <si>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</si>
  <si>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</si>
  <si>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</si>
  <si>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</si>
  <si>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</si>
  <si>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</si>
  <si>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</si>
  <si>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</si>
  <si>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</si>
  <si>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</si>
  <si>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</si>
  <si>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</si>
  <si>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</si>
  <si>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</si>
  <si>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</si>
  <si>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</si>
  <si>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</si>
  <si>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</si>
  <si>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</si>
  <si>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</si>
  <si>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</si>
  <si>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</si>
  <si>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</si>
  <si>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</si>
  <si>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</si>
  <si>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</si>
  <si>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</si>
  <si>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</si>
  <si>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</si>
  <si>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</si>
  <si>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</si>
  <si>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</si>
  <si>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</si>
  <si>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</si>
  <si>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</si>
  <si>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</si>
  <si>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</si>
  <si>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</si>
  <si>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</si>
  <si>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</si>
  <si>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</si>
  <si>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</si>
  <si>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</si>
  <si>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</si>
  <si>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</si>
  <si>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</si>
  <si>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</si>
  <si>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</si>
  <si>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</si>
  <si>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</si>
  <si>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</si>
  <si>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</si>
  <si>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</si>
  <si>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</si>
  <si>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</si>
  <si>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</si>
  <si>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</si>
  <si>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</si>
  <si>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</si>
  <si>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</si>
  <si>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</si>
  <si>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</si>
  <si>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</si>
  <si>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</si>
  <si>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</si>
  <si>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</si>
  <si>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</si>
  <si>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</si>
  <si>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</si>
  <si>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</si>
  <si>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</si>
  <si>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</si>
  <si>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</si>
  <si>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</si>
  <si>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</si>
  <si>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</si>
  <si>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</si>
  <si>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</si>
  <si>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</si>
  <si>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</si>
  <si>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</si>
  <si>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</si>
  <si>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</si>
  <si>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</si>
  <si>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</si>
  <si>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</si>
  <si>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</si>
  <si>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</si>
  <si>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</si>
  <si>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</si>
  <si>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</si>
  <si>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</si>
  <si>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</si>
  <si>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</si>
  <si>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</si>
  <si>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</si>
  <si>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</si>
  <si>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</si>
  <si>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</si>
  <si>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</si>
  <si>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</si>
  <si>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</si>
  <si>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</si>
  <si>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</si>
  <si>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</si>
  <si>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</si>
  <si>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</si>
  <si>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</si>
  <si>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</si>
  <si>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</si>
  <si>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</si>
  <si>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</si>
  <si>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</si>
  <si>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</si>
  <si>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</si>
  <si>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</si>
  <si>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</si>
  <si>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</si>
  <si>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</si>
  <si>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</si>
  <si>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</si>
  <si>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</si>
  <si>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</si>
  <si>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</si>
  <si>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</si>
  <si>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</si>
  <si>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</si>
  <si>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</si>
  <si>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</si>
  <si>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</si>
  <si>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</si>
  <si>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</si>
  <si>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</si>
  <si>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</si>
  <si>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</si>
  <si>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</si>
  <si>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</si>
  <si>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</si>
  <si>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</si>
  <si>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</si>
  <si>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</si>
  <si>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</si>
  <si>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</si>
  <si>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</si>
  <si>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</si>
  <si>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</si>
  <si>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</si>
  <si>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</si>
  <si>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</si>
  <si>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</si>
  <si>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</si>
  <si>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</si>
  <si>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</si>
  <si>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</si>
  <si>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</si>
  <si>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</si>
  <si>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</si>
  <si>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</si>
  <si>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</si>
  <si>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</si>
  <si>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</si>
  <si>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</si>
  <si>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</si>
  <si>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</si>
  <si>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</si>
  <si>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</si>
  <si>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</si>
  <si>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</si>
  <si>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</si>
  <si>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</si>
  <si>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</si>
  <si>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</si>
  <si>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</si>
  <si>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</si>
  <si>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</si>
  <si>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</si>
  <si>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</si>
  <si>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</si>
  <si>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</si>
  <si>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</si>
  <si>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</si>
  <si>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</si>
  <si>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</si>
  <si>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</si>
  <si>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</si>
  <si>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</si>
  <si>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</si>
  <si>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</si>
  <si>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</si>
  <si>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</si>
  <si>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</si>
  <si>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</si>
  <si>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</si>
  <si>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</si>
  <si>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</si>
  <si>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</si>
  <si>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</si>
  <si>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</si>
  <si>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</si>
  <si>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</si>
  <si>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</si>
  <si>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</si>
  <si>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</si>
  <si>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</si>
  <si>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</si>
  <si>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</si>
  <si>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</si>
  <si>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</si>
  <si>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</si>
  <si>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</si>
  <si>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</si>
  <si>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</si>
  <si>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</si>
  <si>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</si>
  <si>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</si>
  <si>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</si>
  <si>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</si>
  <si>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</si>
  <si>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</si>
  <si>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</si>
  <si>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</si>
  <si>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</si>
  <si>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</si>
  <si>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</si>
  <si>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</si>
  <si>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</si>
  <si>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</si>
  <si>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</si>
  <si>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</si>
  <si>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</si>
  <si>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</si>
  <si>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</si>
  <si>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</si>
  <si>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</si>
  <si>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</si>
  <si>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</si>
  <si>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</si>
  <si>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</si>
  <si>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</si>
  <si>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</si>
  <si>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</si>
  <si>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</si>
  <si>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</si>
  <si>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</si>
  <si>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</si>
  <si>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</si>
  <si>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</si>
  <si>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</si>
  <si>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</si>
  <si>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</si>
  <si>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</si>
  <si>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</si>
  <si>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</si>
  <si>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</si>
  <si>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</si>
  <si>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</si>
  <si>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</si>
  <si>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</si>
  <si>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</si>
  <si>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</si>
  <si>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</si>
  <si>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</si>
  <si>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</si>
  <si>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</si>
  <si>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</si>
  <si>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</si>
  <si>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</si>
  <si>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</si>
  <si>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</si>
  <si>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</si>
  <si>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</si>
  <si>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</si>
  <si>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</si>
  <si>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</si>
  <si>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</si>
  <si>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</si>
  <si>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</si>
  <si>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</si>
  <si>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</si>
  <si>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</si>
  <si>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</si>
  <si>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</si>
  <si>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</si>
  <si>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</si>
  <si>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</si>
  <si>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</si>
  <si>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</si>
  <si>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</si>
  <si>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</si>
  <si>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</si>
  <si>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</si>
  <si>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</si>
  <si>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</si>
  <si>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</si>
  <si>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</si>
  <si>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</si>
  <si>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</si>
  <si>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</si>
  <si>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</si>
  <si>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</si>
  <si>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</si>
  <si>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</si>
  <si>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</si>
  <si>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</si>
  <si>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</si>
  <si>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</si>
  <si>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</si>
  <si>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</si>
  <si>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</si>
  <si>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</si>
  <si>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</si>
  <si>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</si>
  <si>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</si>
  <si>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</si>
  <si>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</si>
  <si>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</si>
  <si>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</si>
  <si>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</si>
  <si>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</si>
  <si>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</si>
  <si>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</si>
  <si>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</si>
  <si>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</si>
  <si>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</si>
  <si>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</si>
  <si>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</si>
  <si>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</si>
  <si>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</si>
  <si>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</si>
  <si>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</si>
  <si>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</si>
  <si>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</si>
  <si>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</si>
  <si>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</si>
  <si>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</si>
  <si>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</si>
  <si>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</si>
  <si>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</si>
  <si>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</si>
  <si>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</si>
  <si>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</si>
  <si>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</si>
  <si>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</si>
  <si>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</si>
  <si>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</si>
  <si>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</si>
  <si>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</si>
  <si>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</si>
  <si>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</si>
  <si>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</si>
  <si>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</si>
  <si>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</si>
  <si>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</si>
  <si>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</si>
  <si>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</si>
  <si>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</si>
  <si>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</si>
  <si>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</si>
  <si>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</si>
  <si>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</si>
  <si>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</si>
  <si>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</si>
  <si>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</si>
  <si>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</si>
  <si>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</si>
  <si>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</si>
  <si>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</si>
  <si>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</si>
  <si>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</si>
  <si>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</si>
  <si>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</si>
  <si>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</si>
  <si>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</si>
  <si>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</si>
  <si>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</si>
  <si>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</si>
  <si>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</si>
  <si>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</si>
  <si>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</si>
  <si>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</si>
  <si>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</si>
  <si>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</si>
  <si>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</si>
  <si>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</si>
  <si>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</si>
  <si>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</si>
  <si>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</si>
  <si>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</si>
  <si>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</si>
  <si>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</si>
  <si>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</si>
  <si>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</si>
  <si>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</si>
  <si>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</si>
  <si>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</si>
  <si>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</si>
  <si>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</si>
  <si>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</si>
  <si>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</si>
  <si>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</si>
  <si>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</si>
  <si>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</si>
  <si>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</si>
  <si>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</si>
  <si>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</si>
  <si>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</si>
  <si>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</si>
  <si>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</si>
  <si>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</si>
  <si>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</si>
  <si>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</si>
  <si>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</si>
  <si>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</si>
  <si>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</si>
  <si>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</si>
  <si>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</si>
  <si>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</si>
  <si>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</si>
  <si>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</si>
  <si>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</si>
  <si>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</si>
  <si>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</si>
  <si>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</si>
  <si>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</si>
  <si>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</si>
  <si>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</si>
  <si>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</si>
  <si>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</si>
  <si>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</si>
  <si>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</si>
  <si>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</si>
  <si>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</si>
  <si>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</si>
  <si>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</si>
  <si>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</si>
  <si>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</si>
  <si>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</si>
  <si>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</si>
  <si>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</si>
  <si>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</si>
  <si>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</si>
  <si>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</si>
  <si>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</si>
  <si>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</si>
  <si>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</si>
  <si>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</si>
  <si>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</si>
  <si>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</si>
  <si>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</si>
  <si>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</si>
  <si>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</si>
  <si>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</si>
  <si>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</si>
  <si>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</si>
  <si>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</si>
  <si>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</si>
  <si>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</si>
  <si>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</si>
  <si>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</si>
  <si>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</si>
  <si>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</si>
  <si>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</si>
  <si>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</si>
  <si>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</si>
  <si>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</si>
  <si>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</si>
  <si>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</si>
  <si>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</si>
  <si>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</si>
  <si>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</si>
  <si>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</si>
  <si>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</si>
  <si>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</si>
  <si>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</si>
  <si>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</si>
  <si>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</si>
  <si>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</si>
  <si>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</si>
  <si>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</si>
  <si>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</si>
  <si>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</si>
  <si>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</si>
  <si>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</si>
  <si>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</si>
  <si>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</si>
  <si>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</si>
  <si>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</si>
  <si>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</si>
  <si>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</si>
  <si>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</si>
  <si>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</si>
  <si>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</si>
  <si>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</si>
  <si>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</si>
  <si>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</si>
  <si>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</si>
  <si>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</si>
  <si>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</si>
  <si>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</si>
  <si>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</si>
  <si>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</si>
  <si>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</si>
  <si>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</si>
  <si>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</si>
  <si>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</si>
  <si>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</si>
  <si>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</si>
  <si>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</si>
  <si>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</si>
  <si>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</si>
  <si>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</si>
  <si>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</si>
  <si>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</si>
  <si>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</si>
  <si>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</si>
  <si>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</si>
  <si>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</si>
  <si>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</si>
  <si>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</si>
  <si>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</si>
  <si>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</si>
  <si>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</si>
  <si>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</si>
  <si>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</si>
  <si>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</si>
  <si>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</si>
  <si>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</si>
  <si>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</si>
  <si>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</si>
  <si>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</si>
  <si>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</si>
  <si>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</si>
  <si>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</si>
  <si>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</si>
  <si>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</si>
  <si>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</si>
  <si>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</si>
  <si>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</si>
  <si>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</si>
  <si>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</si>
  <si>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</si>
  <si>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</si>
  <si>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</si>
  <si>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</si>
  <si>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</si>
  <si>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</si>
  <si>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</si>
  <si>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</si>
  <si>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</si>
  <si>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</si>
  <si>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</si>
  <si>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</si>
  <si>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</si>
  <si>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</si>
  <si>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</si>
  <si>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</si>
  <si>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</si>
  <si>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</si>
  <si>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</si>
  <si>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</si>
  <si>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</si>
  <si>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</si>
  <si>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</si>
  <si>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</si>
  <si>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</si>
  <si>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</si>
  <si>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</si>
  <si>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</si>
  <si>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</si>
  <si>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</si>
  <si>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</si>
  <si>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</si>
  <si>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</si>
  <si>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</si>
  <si>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</si>
  <si>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</si>
  <si>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</si>
  <si>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</si>
  <si>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</si>
  <si>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</si>
  <si>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</si>
  <si>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</si>
  <si>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</si>
  <si>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</si>
  <si>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</si>
  <si>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</si>
  <si>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</si>
  <si>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</si>
  <si>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</si>
  <si>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</si>
  <si>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</si>
  <si>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</si>
  <si>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</si>
  <si>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</si>
  <si>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</si>
  <si>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</si>
  <si>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</si>
  <si>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</si>
  <si>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</si>
  <si>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</si>
  <si>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</si>
  <si>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</si>
  <si>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</si>
  <si>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</si>
  <si>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</si>
  <si>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</si>
  <si>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</si>
  <si>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</si>
  <si>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</si>
  <si>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</si>
  <si>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</si>
  <si>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</si>
  <si>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</si>
  <si>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</si>
  <si>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</si>
  <si>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</si>
  <si>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</si>
  <si>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</si>
  <si>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</si>
  <si>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</si>
  <si>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</si>
  <si>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</si>
  <si>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</si>
  <si>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</si>
  <si>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</si>
  <si>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</si>
  <si>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</si>
  <si>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</si>
  <si>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</si>
  <si>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</si>
  <si>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</si>
  <si>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</si>
  <si>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</si>
  <si>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</si>
  <si>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</si>
  <si>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</si>
  <si>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</si>
  <si>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</si>
  <si>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</si>
  <si>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</si>
  <si>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</si>
  <si>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</si>
  <si>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</si>
  <si>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</si>
  <si>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</si>
  <si>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</si>
  <si>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</si>
  <si>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</si>
  <si>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</si>
  <si>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</si>
  <si>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</si>
  <si>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</si>
  <si>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</si>
  <si>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</si>
  <si>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</si>
  <si>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</si>
  <si>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</si>
  <si>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</si>
  <si>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</si>
  <si>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</si>
  <si>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</si>
  <si>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</si>
  <si>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</si>
  <si>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</si>
  <si>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</si>
  <si>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</si>
  <si>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</si>
  <si>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</si>
  <si>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</si>
  <si>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</si>
  <si>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</si>
  <si>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</si>
  <si>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</si>
  <si>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</si>
  <si>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</si>
  <si>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</si>
  <si>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</si>
  <si>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</si>
  <si>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</si>
  <si>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</si>
  <si>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</si>
  <si>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</si>
  <si>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</si>
  <si>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</si>
  <si>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</si>
  <si>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</si>
  <si>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</si>
  <si>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</si>
  <si>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</si>
  <si>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</si>
  <si>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</si>
  <si>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</si>
  <si>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</si>
  <si>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</si>
  <si>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</si>
  <si>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</si>
  <si>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</si>
  <si>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</si>
  <si>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</si>
  <si>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</si>
  <si>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</si>
  <si>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</si>
  <si>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</si>
  <si>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</si>
  <si>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</si>
  <si>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</si>
  <si>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</si>
  <si>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</si>
  <si>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</si>
  <si>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</si>
  <si>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</si>
  <si>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</si>
  <si>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</si>
  <si>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</si>
  <si>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</si>
  <si>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</si>
  <si>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</si>
  <si>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</si>
  <si>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</si>
  <si>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</si>
  <si>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</si>
  <si>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</si>
  <si>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</si>
  <si>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</si>
  <si>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</si>
  <si>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</si>
  <si>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</si>
  <si>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</si>
  <si>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</si>
  <si>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</si>
  <si>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</si>
  <si>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</si>
  <si>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</si>
  <si>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</si>
  <si>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</si>
  <si>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</si>
  <si>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</si>
  <si>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</si>
  <si>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</si>
  <si>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</si>
  <si>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</si>
  <si>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</si>
  <si>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</si>
  <si>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</si>
  <si>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</si>
  <si>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</si>
  <si>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</si>
  <si>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</si>
  <si>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</si>
  <si>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</si>
  <si>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</si>
  <si>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</si>
  <si>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</si>
  <si>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</si>
  <si>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</si>
  <si>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</si>
  <si>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</si>
  <si>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</si>
  <si>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</si>
  <si>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</si>
  <si>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</si>
  <si>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</si>
  <si>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</si>
  <si>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</si>
  <si>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</si>
  <si>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</si>
  <si>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</si>
  <si>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</si>
  <si>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</si>
  <si>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</si>
  <si>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</si>
  <si>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</si>
  <si>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</si>
  <si>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</si>
  <si>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</si>
  <si>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</si>
  <si>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</si>
  <si>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</si>
  <si>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</si>
  <si>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</si>
  <si>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</si>
  <si>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</si>
  <si>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</si>
  <si>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</si>
  <si>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</si>
  <si>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</si>
  <si>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</si>
  <si>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</si>
  <si>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</si>
  <si>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</si>
  <si>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</si>
  <si>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</si>
  <si>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</si>
  <si>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</si>
  <si>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</si>
  <si>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</si>
  <si>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</si>
  <si>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</si>
  <si>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</si>
  <si>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</si>
  <si>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</si>
  <si>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</si>
  <si>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</si>
  <si>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</si>
  <si>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</si>
  <si>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</si>
  <si>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</si>
  <si>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</si>
  <si>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</si>
  <si>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</si>
  <si>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</si>
  <si>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</si>
  <si>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</si>
  <si>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</si>
  <si>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</si>
  <si>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</si>
  <si>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</si>
  <si>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</si>
  <si>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</si>
  <si>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</si>
  <si>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</si>
  <si>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</si>
  <si>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</si>
  <si>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</si>
  <si>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</si>
  <si>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</si>
  <si>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</si>
  <si>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</si>
  <si>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</si>
  <si>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</si>
  <si>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</si>
  <si>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</si>
  <si>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</si>
  <si>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</si>
  <si>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</si>
  <si>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</si>
  <si>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</si>
  <si>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</si>
  <si>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</si>
  <si>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</si>
  <si>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</si>
  <si>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</si>
  <si>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</si>
  <si>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</si>
  <si>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</si>
  <si>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</si>
  <si>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</si>
  <si>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</si>
  <si>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</si>
  <si>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</si>
  <si>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</si>
  <si>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</si>
  <si>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</si>
  <si>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</si>
  <si>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</si>
  <si>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</si>
  <si>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</si>
  <si>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</si>
  <si>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</si>
  <si>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</si>
  <si>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</si>
  <si>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</si>
  <si>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</si>
  <si>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</si>
  <si>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</si>
  <si>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</si>
  <si>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</si>
  <si>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</si>
  <si>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</si>
  <si>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</si>
  <si>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</si>
  <si>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</si>
  <si>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</si>
  <si>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</si>
  <si>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</si>
  <si>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</si>
  <si>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</si>
  <si>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</si>
  <si>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</si>
  <si>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</si>
  <si>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</si>
  <si>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</si>
  <si>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</si>
  <si>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</si>
  <si>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</si>
  <si>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</si>
  <si>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</si>
  <si>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</si>
  <si>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</si>
  <si>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</si>
  <si>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</si>
  <si>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</si>
  <si>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</si>
  <si>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</si>
  <si>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</si>
  <si>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</si>
  <si>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</si>
  <si>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</si>
  <si>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</si>
  <si>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</si>
  <si>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</si>
  <si>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</si>
  <si>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</si>
  <si>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</si>
  <si>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</si>
  <si>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</si>
  <si>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</si>
  <si>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</si>
  <si>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</si>
  <si>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</si>
  <si>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</si>
  <si>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</si>
  <si>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</si>
  <si>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</si>
  <si>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</si>
  <si>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</si>
  <si>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</si>
  <si>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</si>
  <si>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</si>
  <si>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</si>
  <si>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</si>
  <si>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</si>
  <si>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</si>
  <si>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</si>
  <si>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</si>
  <si>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</si>
  <si>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</si>
  <si>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</si>
  <si>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</si>
  <si>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</si>
  <si>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</si>
  <si>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</si>
  <si>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</si>
  <si>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</si>
  <si>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</si>
  <si>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</si>
  <si>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</si>
  <si>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</si>
  <si>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</si>
  <si>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</si>
  <si>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</si>
  <si>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</si>
  <si>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</si>
  <si>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</si>
  <si>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</si>
  <si>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</si>
  <si>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</si>
  <si>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</si>
  <si>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</si>
  <si>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</si>
  <si>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</si>
  <si>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</si>
  <si>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</si>
  <si>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</si>
  <si>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</si>
  <si>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</si>
  <si>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</si>
  <si>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</si>
  <si>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</si>
  <si>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</si>
  <si>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</si>
  <si>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</si>
  <si>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</si>
  <si>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</si>
  <si>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</si>
  <si>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</si>
  <si>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</si>
  <si>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</si>
  <si>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</si>
  <si>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</si>
  <si>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</si>
  <si>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</si>
  <si>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</si>
  <si>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</si>
  <si>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</si>
  <si>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</si>
  <si>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</si>
  <si>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</si>
  <si>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</si>
  <si>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</si>
  <si>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</si>
  <si>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</si>
  <si>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</si>
  <si>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</si>
  <si>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</si>
  <si>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</si>
  <si>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</si>
  <si>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</si>
  <si>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</si>
  <si>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</si>
  <si>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</si>
  <si>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</si>
  <si>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</si>
  <si>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</si>
  <si>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</si>
  <si>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</si>
  <si>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</si>
  <si>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</si>
  <si>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</si>
  <si>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</si>
  <si>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</si>
  <si>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</si>
  <si>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</si>
  <si>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</si>
  <si>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</si>
  <si>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</si>
  <si>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</si>
  <si>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</si>
  <si>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</si>
  <si>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</si>
  <si>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</si>
  <si>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</si>
  <si>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</si>
  <si>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</si>
  <si>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</si>
  <si>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</si>
  <si>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</si>
  <si>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</si>
  <si>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</si>
  <si>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</si>
  <si>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</si>
  <si>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</si>
  <si>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</si>
  <si>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</si>
  <si>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</si>
  <si>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</si>
  <si>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</si>
  <si>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</si>
  <si>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</si>
  <si>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</si>
  <si>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</si>
  <si>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</si>
  <si>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</si>
  <si>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</si>
  <si>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</si>
  <si>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</si>
  <si>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</si>
  <si>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</si>
  <si>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</si>
  <si>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</si>
  <si>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</si>
  <si>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</si>
  <si>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</si>
  <si>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</si>
  <si>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</si>
  <si>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</si>
  <si>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</si>
  <si>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</si>
  <si>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</si>
  <si>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</si>
  <si>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</si>
  <si>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</si>
  <si>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</si>
  <si>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</si>
  <si>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</si>
  <si>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</si>
  <si>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</si>
  <si>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</si>
  <si>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</si>
  <si>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</si>
  <si>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</si>
  <si>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</si>
  <si>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</si>
  <si>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</si>
  <si>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</si>
  <si>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</si>
  <si>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</si>
  <si>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</si>
  <si>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</si>
  <si>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</si>
  <si>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</si>
  <si>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</si>
  <si>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</si>
  <si>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</si>
  <si>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</si>
  <si>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</si>
  <si>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</si>
  <si>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</si>
  <si>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</si>
  <si>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</si>
  <si>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</si>
  <si>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</si>
  <si>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</si>
  <si>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</si>
  <si>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</si>
  <si>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</si>
  <si>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</si>
  <si>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</si>
  <si>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</si>
  <si>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</si>
  <si>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</si>
  <si>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</si>
  <si>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</si>
  <si>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</si>
  <si>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</si>
  <si>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</si>
  <si>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</si>
  <si>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</si>
  <si>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</si>
  <si>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</si>
  <si>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</si>
  <si>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</si>
  <si>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</si>
  <si>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</si>
  <si>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</si>
  <si>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</si>
  <si>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</si>
  <si>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</si>
  <si>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</si>
  <si>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</si>
  <si>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</si>
  <si>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</si>
  <si>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</si>
  <si>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</si>
  <si>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</si>
  <si>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</si>
  <si>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</si>
  <si>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</si>
  <si>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</si>
  <si>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</si>
  <si>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</si>
  <si>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</si>
  <si>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</si>
  <si>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</si>
  <si>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</si>
  <si>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</si>
  <si>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</si>
  <si>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</si>
  <si>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</si>
  <si>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</si>
  <si>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</si>
  <si>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</si>
  <si>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</si>
  <si>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</si>
  <si>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</si>
  <si>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</si>
  <si>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</si>
  <si>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</si>
  <si>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</si>
  <si>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</si>
  <si>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</si>
  <si>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</si>
  <si>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</si>
  <si>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</si>
  <si>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</si>
  <si>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</si>
  <si>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</si>
  <si>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</si>
  <si>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</si>
  <si>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</si>
  <si>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</si>
  <si>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</si>
  <si>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</si>
  <si>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</si>
  <si>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</si>
  <si>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</si>
  <si>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</si>
  <si>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</si>
  <si>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</si>
  <si>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</si>
  <si>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</si>
  <si>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</si>
  <si>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</si>
  <si>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</si>
  <si>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</si>
  <si>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</si>
  <si>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</si>
  <si>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</si>
  <si>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</si>
  <si>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</si>
  <si>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</si>
  <si>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</si>
  <si>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</si>
  <si>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</si>
  <si>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</si>
  <si>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</si>
  <si>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</si>
  <si>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</si>
  <si>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</si>
  <si>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</si>
  <si>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</si>
  <si>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</si>
  <si>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</si>
  <si>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</si>
  <si>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</si>
  <si>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</si>
  <si>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</si>
  <si>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</si>
  <si>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</si>
  <si>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</si>
  <si>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</si>
  <si>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</si>
  <si>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</si>
  <si>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</si>
  <si>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</si>
  <si>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</si>
  <si>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</si>
  <si>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</si>
  <si>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</si>
  <si>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</si>
  <si>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</si>
  <si>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</si>
  <si>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</si>
  <si>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</si>
  <si>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</si>
  <si>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</si>
  <si>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</si>
  <si>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</si>
  <si>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</si>
  <si>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</si>
  <si>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</si>
  <si>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</si>
  <si>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</si>
  <si>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</si>
  <si>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</si>
  <si>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</si>
  <si>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</si>
  <si>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</si>
  <si>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</si>
  <si>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</si>
  <si>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</si>
  <si>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</si>
  <si>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</si>
  <si>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</si>
  <si>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</si>
  <si>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</si>
  <si>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</si>
  <si>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</si>
  <si>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</si>
  <si>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</si>
  <si>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</si>
  <si>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</si>
  <si>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</si>
  <si>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</si>
  <si>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</si>
  <si>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</si>
  <si>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</si>
  <si>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</si>
  <si>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</si>
  <si>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</si>
  <si>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</si>
  <si>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</si>
  <si>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</si>
  <si>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</si>
  <si>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</si>
  <si>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</si>
  <si>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</si>
  <si>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</si>
  <si>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</si>
  <si>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</si>
  <si>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</si>
  <si>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</si>
  <si>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</si>
  <si>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</si>
  <si>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</si>
  <si>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</si>
  <si>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</si>
  <si>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</si>
  <si>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</si>
  <si>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</si>
  <si>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</si>
  <si>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</si>
  <si>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</si>
  <si>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</si>
  <si>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</si>
  <si>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</si>
  <si>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</si>
  <si>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</si>
  <si>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</si>
  <si>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</si>
  <si>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</si>
  <si>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</si>
  <si>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</si>
  <si>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</si>
  <si>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</si>
  <si>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</si>
  <si>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</si>
  <si>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</si>
  <si>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</si>
  <si>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</si>
  <si>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</si>
  <si>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</si>
  <si>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</si>
  <si>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</si>
  <si>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</si>
  <si>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</si>
  <si>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</si>
  <si>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</si>
  <si>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</si>
  <si>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</si>
  <si>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</si>
  <si>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</si>
  <si>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</si>
  <si>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</si>
  <si>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</si>
  <si>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</si>
  <si>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</si>
  <si>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</si>
  <si>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</si>
  <si>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</si>
  <si>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</si>
  <si>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</si>
  <si>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</si>
  <si>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</si>
  <si>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</si>
  <si>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</si>
  <si>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</si>
  <si>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</si>
  <si>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</si>
  <si>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</si>
  <si>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</si>
  <si>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</si>
  <si>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</si>
  <si>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</si>
  <si>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</si>
  <si>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</si>
  <si>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</si>
  <si>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</si>
  <si>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</si>
  <si>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</si>
  <si>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</si>
  <si>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</si>
  <si>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</si>
  <si>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</si>
  <si>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</si>
  <si>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</si>
  <si>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</si>
  <si>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</si>
  <si>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</si>
  <si>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</si>
  <si>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</si>
  <si>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</si>
  <si>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</si>
  <si>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</si>
  <si>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</si>
  <si>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</si>
  <si>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</si>
  <si>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</si>
  <si>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</si>
  <si>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</si>
  <si>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</si>
  <si>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</si>
  <si>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</si>
  <si>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</si>
  <si>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</si>
  <si>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</si>
  <si>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</si>
  <si>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</si>
  <si>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</si>
  <si>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</si>
  <si>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</si>
  <si>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</si>
  <si>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</si>
  <si>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</si>
  <si>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</si>
  <si>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</si>
  <si>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</si>
  <si>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</si>
  <si>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</si>
  <si>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</si>
  <si>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</si>
  <si>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</si>
  <si>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</si>
  <si>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</si>
  <si>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</si>
  <si>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</si>
  <si>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</si>
  <si>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</si>
  <si>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</si>
  <si>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</si>
  <si>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</si>
  <si>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</si>
  <si>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</si>
  <si>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</si>
  <si>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</si>
  <si>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</si>
  <si>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</si>
  <si>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</si>
  <si>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</si>
  <si>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</si>
  <si>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</si>
  <si>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</si>
  <si>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</si>
  <si>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</si>
  <si>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</si>
  <si>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</si>
  <si>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</si>
  <si>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</si>
  <si>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</si>
  <si>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</si>
  <si>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</si>
  <si>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</si>
  <si>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</si>
  <si>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</si>
  <si>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</si>
  <si>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</si>
  <si>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</si>
  <si>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</si>
  <si>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</si>
  <si>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</si>
  <si>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</si>
  <si>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</si>
  <si>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</si>
  <si>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</si>
  <si>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</si>
  <si>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</si>
  <si>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</si>
  <si>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</si>
  <si>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</si>
  <si>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</si>
  <si>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</si>
  <si>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</si>
  <si>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</si>
  <si>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</si>
  <si>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</si>
  <si>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</si>
  <si>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</si>
  <si>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</si>
  <si>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</si>
  <si>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</si>
  <si>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</si>
  <si>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</si>
  <si>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</si>
  <si>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</si>
  <si>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</si>
  <si>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</si>
  <si>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</si>
  <si>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</si>
  <si>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</si>
  <si>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</si>
  <si>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</si>
  <si>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</si>
  <si>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</si>
  <si>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</si>
  <si>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</si>
  <si>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</si>
  <si>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</si>
  <si>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</si>
  <si>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</si>
  <si>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</si>
  <si>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</si>
  <si>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</si>
  <si>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</si>
  <si>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</si>
  <si>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</si>
  <si>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</si>
  <si>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</si>
  <si>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</si>
  <si>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</si>
  <si>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</si>
  <si>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</si>
  <si>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</si>
  <si>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</si>
  <si>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</si>
  <si>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</si>
  <si>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</si>
  <si>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</si>
  <si>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</si>
  <si>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</si>
  <si>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</si>
  <si>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</si>
  <si>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</si>
  <si>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</si>
  <si>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</si>
  <si>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</si>
  <si>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</si>
  <si>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</si>
  <si>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</si>
  <si>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</si>
  <si>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</si>
  <si>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</si>
  <si>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</si>
  <si>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</si>
  <si>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</si>
  <si>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</si>
  <si>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</si>
  <si>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</si>
  <si>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</si>
  <si>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</si>
  <si>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</si>
  <si>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</si>
  <si>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</si>
  <si>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</si>
  <si>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</si>
  <si>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</si>
  <si>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</si>
  <si>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</si>
  <si>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</si>
  <si>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</si>
  <si>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</si>
  <si>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</si>
  <si>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</si>
  <si>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</si>
  <si>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</si>
  <si>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</si>
  <si>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</si>
  <si>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</si>
  <si>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</si>
  <si>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</si>
  <si>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</si>
  <si>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</si>
  <si>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</si>
  <si>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</si>
  <si>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</si>
  <si>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</si>
  <si>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</si>
  <si>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</si>
  <si>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</si>
  <si>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</si>
  <si>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</si>
  <si>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</si>
  <si>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</si>
  <si>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</si>
  <si>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</si>
  <si>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</si>
  <si>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</si>
  <si>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</si>
  <si>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</si>
  <si>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</si>
  <si>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</si>
  <si>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</si>
  <si>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</si>
  <si>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</si>
  <si>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</si>
  <si>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</si>
  <si>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</si>
  <si>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</si>
  <si>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</si>
  <si>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</si>
  <si>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</si>
  <si>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</si>
  <si>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</si>
  <si>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</si>
  <si>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</si>
  <si>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</si>
  <si>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</si>
  <si>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</si>
  <si>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</si>
  <si>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</si>
  <si>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</si>
  <si>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</si>
  <si>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</si>
  <si>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</si>
  <si>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</si>
  <si>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</si>
  <si>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</si>
  <si>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</si>
  <si>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</si>
  <si>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</si>
  <si>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</si>
  <si>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</si>
  <si>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</si>
  <si>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</si>
  <si>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</si>
  <si>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</si>
  <si>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</si>
  <si>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</si>
  <si>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</si>
  <si>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</si>
  <si>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</si>
  <si>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</si>
  <si>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</si>
  <si>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</si>
  <si>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</si>
  <si>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</si>
  <si>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</si>
  <si>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</si>
  <si>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</si>
  <si>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</si>
  <si>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</si>
  <si>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</si>
  <si>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</si>
  <si>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</si>
  <si>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</si>
  <si>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</si>
  <si>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</si>
  <si>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</si>
  <si>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</si>
  <si>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</si>
  <si>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</si>
  <si>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</si>
  <si>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</si>
  <si>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</si>
  <si>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</si>
  <si>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</si>
  <si>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</si>
  <si>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</si>
  <si>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</si>
  <si>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</si>
  <si>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</si>
  <si>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</si>
  <si>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</si>
  <si>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</si>
  <si>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</si>
  <si>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</si>
  <si>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</si>
  <si>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</si>
  <si>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</si>
  <si>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</si>
  <si>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</si>
  <si>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</si>
  <si>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</si>
  <si>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</si>
  <si>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</si>
  <si>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</si>
  <si>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</si>
  <si>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</si>
  <si>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</si>
  <si>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</si>
  <si>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</si>
  <si>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</si>
  <si>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</si>
  <si>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</si>
  <si>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</si>
  <si>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</si>
  <si>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</si>
  <si>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</si>
  <si>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</si>
  <si>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</si>
  <si>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</si>
  <si>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</si>
  <si>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</si>
  <si>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</si>
  <si>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</si>
  <si>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</si>
  <si>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</si>
  <si>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</si>
  <si>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</si>
  <si>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</si>
  <si>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</si>
  <si>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</si>
  <si>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</si>
  <si>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</si>
  <si>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</si>
  <si>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</si>
  <si>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</si>
  <si>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</si>
  <si>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</si>
  <si>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</si>
  <si>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</si>
  <si>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</si>
  <si>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</si>
  <si>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</si>
  <si>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</si>
  <si>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</si>
  <si>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</si>
  <si>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</si>
  <si>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</si>
  <si>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</si>
  <si>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</si>
  <si>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</si>
  <si>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</si>
  <si>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</si>
  <si>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</si>
  <si>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</si>
  <si>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</si>
  <si>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</si>
  <si>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</si>
  <si>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</si>
  <si>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</si>
  <si>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</si>
  <si>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</si>
  <si>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</si>
  <si>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</si>
  <si>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</si>
  <si>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</si>
  <si>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</si>
  <si>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</si>
  <si>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</si>
  <si>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</si>
  <si>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</si>
  <si>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</si>
  <si>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</si>
  <si>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</si>
  <si>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</si>
  <si>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</si>
  <si>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</si>
  <si>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</si>
  <si>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</si>
  <si>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</si>
  <si>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</si>
  <si>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</si>
  <si>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</si>
  <si>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</si>
  <si>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</si>
  <si>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</si>
  <si>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</si>
  <si>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</si>
  <si>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</si>
  <si>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</si>
  <si>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</si>
  <si>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</si>
  <si>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</si>
  <si>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</si>
  <si>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</si>
  <si>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</si>
  <si>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</si>
  <si>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</si>
  <si>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</si>
  <si>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</si>
  <si>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</si>
  <si>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</si>
  <si>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</si>
  <si>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</si>
  <si>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</si>
  <si>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</si>
  <si>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</si>
  <si>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</si>
  <si>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</si>
  <si>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</si>
  <si>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</si>
  <si>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</si>
  <si>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</si>
  <si>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</si>
  <si>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</si>
  <si>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</si>
  <si>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</si>
  <si>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</si>
  <si>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</si>
  <si>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</si>
  <si>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</si>
  <si>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</si>
  <si>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</si>
  <si>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</si>
  <si>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</si>
  <si>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</si>
  <si>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</si>
  <si>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</si>
  <si>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</si>
  <si>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</si>
  <si>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</si>
  <si>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</si>
  <si>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</si>
  <si>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</si>
  <si>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</si>
  <si>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</si>
  <si>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</si>
  <si>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</si>
  <si>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</si>
  <si>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</si>
  <si>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</si>
  <si>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</si>
  <si>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</si>
  <si>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</si>
  <si>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</si>
  <si>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</si>
  <si>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</si>
  <si>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</si>
  <si>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</si>
  <si>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</si>
  <si>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</si>
  <si>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</si>
  <si>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</si>
  <si>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</si>
  <si>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</si>
  <si>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</si>
  <si>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</si>
  <si>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</si>
  <si>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</si>
  <si>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</si>
  <si>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</si>
  <si>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</si>
  <si>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</si>
  <si>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</si>
  <si>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</si>
  <si>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</si>
  <si>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</si>
  <si>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</si>
  <si>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</si>
  <si>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</si>
  <si>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</si>
  <si>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</si>
  <si>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</si>
  <si>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</si>
  <si>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</si>
  <si>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</si>
  <si>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</si>
  <si>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</si>
  <si>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</si>
  <si>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</si>
  <si>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</si>
  <si>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</si>
  <si>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</si>
  <si>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</si>
  <si>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</si>
  <si>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</si>
  <si>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</si>
  <si>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</si>
  <si>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</si>
  <si>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</si>
  <si>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</si>
  <si>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</si>
  <si>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</si>
  <si>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</si>
  <si>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</si>
  <si>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</si>
  <si>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</si>
  <si>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</si>
  <si>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</si>
  <si>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</si>
  <si>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</si>
  <si>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</si>
  <si>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</si>
  <si>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</si>
  <si>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</si>
  <si>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</si>
  <si>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</si>
  <si>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</si>
  <si>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</si>
  <si>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</si>
  <si>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</si>
  <si>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</si>
  <si>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</si>
  <si>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</si>
  <si>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</si>
  <si>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</si>
  <si>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</si>
  <si>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</si>
  <si>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</si>
  <si>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</si>
  <si>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</si>
  <si>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</si>
  <si>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</si>
  <si>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</si>
  <si>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</si>
  <si>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</si>
  <si>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</si>
  <si>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</si>
  <si>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</si>
  <si>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</si>
  <si>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</si>
  <si>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</si>
  <si>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</si>
  <si>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</si>
  <si>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</si>
  <si>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</si>
  <si>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</si>
  <si>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</si>
  <si>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</si>
  <si>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</si>
  <si>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</si>
  <si>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</si>
  <si>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</si>
  <si>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</si>
  <si>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</si>
  <si>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</si>
  <si>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</si>
  <si>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</si>
  <si>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</si>
  <si>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</si>
  <si>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</si>
  <si>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</si>
  <si>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</si>
  <si>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</si>
  <si>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</si>
  <si>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</si>
  <si>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</si>
  <si>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</si>
  <si>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</si>
  <si>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</si>
  <si>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</si>
  <si>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</si>
  <si>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</si>
  <si>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</si>
  <si>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</si>
  <si>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</si>
  <si>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</si>
  <si>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</si>
  <si>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</si>
  <si>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</si>
  <si>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</si>
  <si>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</si>
  <si>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</si>
  <si>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</si>
  <si>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</si>
  <si>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</si>
  <si>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</si>
  <si>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</si>
  <si>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</si>
  <si>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</si>
  <si>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</si>
  <si>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</si>
  <si>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</si>
  <si>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</si>
  <si>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</si>
  <si>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</si>
  <si>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</si>
  <si>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</si>
  <si>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</si>
  <si>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</si>
  <si>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</si>
  <si>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</si>
  <si>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</si>
  <si>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</si>
  <si>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</si>
  <si>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</si>
  <si>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</si>
  <si>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</si>
  <si>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</si>
  <si>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</si>
  <si>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</si>
  <si>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</si>
  <si>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</si>
  <si>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</si>
  <si>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</si>
  <si>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</si>
  <si>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</si>
  <si>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</si>
  <si>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</si>
  <si>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</si>
  <si>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</si>
  <si>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</si>
  <si>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</si>
  <si>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</si>
  <si>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</si>
  <si>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</si>
  <si>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</si>
  <si>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</si>
  <si>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</si>
  <si>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</si>
  <si>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</si>
  <si>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</si>
  <si>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</si>
  <si>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</si>
  <si>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</si>
  <si>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</si>
  <si>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</si>
  <si>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</si>
  <si>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</si>
  <si>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</si>
  <si>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</si>
  <si>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</si>
  <si>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</si>
  <si>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</si>
  <si>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</si>
  <si>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</si>
  <si>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</si>
  <si>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</si>
  <si>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</si>
  <si>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</si>
  <si>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</si>
  <si>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</si>
  <si>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</si>
  <si>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</si>
  <si>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</si>
  <si>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</si>
  <si>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</si>
  <si>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</si>
  <si>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</si>
  <si>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</si>
  <si>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</si>
  <si>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</si>
  <si>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</si>
  <si>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</si>
  <si>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</si>
  <si>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</si>
  <si>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</si>
  <si>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</si>
  <si>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</si>
  <si>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</si>
  <si>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</si>
  <si>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</si>
  <si>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</si>
  <si>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</si>
  <si>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</si>
  <si>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</si>
  <si>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</si>
  <si>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</si>
  <si>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</si>
  <si>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</si>
  <si>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</si>
  <si>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</si>
  <si>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</si>
  <si>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</si>
  <si>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</si>
  <si>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</si>
  <si>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</si>
  <si>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</si>
  <si>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</si>
  <si>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</si>
  <si>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</si>
  <si>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</si>
  <si>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</si>
  <si>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</si>
  <si>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</si>
  <si>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</si>
  <si>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</si>
  <si>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</si>
  <si>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</si>
  <si>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</si>
  <si>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</si>
  <si>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</si>
  <si>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</si>
  <si>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</si>
  <si>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</si>
  <si>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</si>
  <si>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</si>
  <si>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</si>
  <si>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</si>
  <si>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</si>
  <si>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</si>
  <si>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</si>
  <si>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</si>
  <si>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</si>
  <si>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</si>
  <si>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</si>
  <si>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</si>
  <si>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</si>
  <si>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</si>
  <si>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</si>
  <si>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</si>
  <si>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</si>
  <si>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</si>
  <si>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</si>
  <si>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</si>
  <si>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</si>
  <si>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</si>
  <si>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</si>
  <si>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</si>
  <si>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</si>
  <si>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</si>
  <si>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</si>
  <si>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</si>
  <si>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</si>
  <si>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</si>
  <si>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</si>
  <si>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</si>
  <si>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</si>
  <si>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</si>
  <si>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</si>
  <si>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</si>
  <si>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</si>
  <si>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</si>
  <si>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</si>
  <si>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</si>
  <si>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</si>
  <si>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</si>
  <si>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</si>
  <si>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</si>
  <si>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</si>
  <si>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</si>
  <si>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</si>
  <si>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</si>
  <si>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</si>
  <si>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</si>
  <si>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</si>
  <si>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</si>
  <si>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</si>
  <si>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</si>
  <si>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</si>
  <si>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</si>
  <si>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</si>
  <si>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</si>
  <si>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</si>
  <si>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</si>
  <si>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</si>
  <si>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</si>
  <si>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</si>
  <si>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</si>
  <si>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</si>
  <si>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</si>
  <si>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</si>
  <si>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</si>
  <si>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</si>
  <si>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</si>
  <si>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</si>
  <si>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</si>
  <si>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</si>
  <si>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</si>
  <si>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</si>
  <si>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</si>
  <si>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</si>
  <si>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</si>
  <si>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</si>
  <si>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</si>
  <si>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</si>
  <si>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</si>
  <si>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</si>
  <si>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</si>
  <si>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</si>
  <si>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</si>
  <si>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</si>
  <si>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</si>
  <si>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</si>
  <si>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</si>
  <si>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</si>
  <si>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</si>
  <si>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</si>
  <si>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</si>
  <si>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</si>
  <si>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</si>
  <si>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</si>
  <si>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</si>
  <si>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</si>
  <si>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</si>
  <si>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</si>
  <si>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</si>
  <si>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</si>
  <si>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</si>
  <si>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</si>
  <si>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</si>
  <si>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</si>
  <si>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</si>
  <si>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</si>
  <si>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</si>
  <si>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</si>
  <si>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</si>
  <si>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</si>
  <si>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</si>
  <si>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</si>
  <si>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</si>
  <si>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</si>
  <si>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</si>
  <si>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</si>
  <si>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</si>
  <si>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</si>
  <si>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</si>
  <si>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</si>
  <si>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</si>
  <si>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</si>
  <si>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</si>
  <si>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</si>
  <si>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</si>
  <si>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</si>
  <si>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</si>
  <si>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</si>
  <si>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</si>
  <si>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</si>
  <si>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</si>
  <si>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</si>
  <si>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</si>
  <si>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</si>
  <si>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</si>
  <si>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</si>
  <si>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</si>
  <si>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</si>
  <si>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</si>
  <si>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</si>
  <si>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</si>
  <si>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</si>
  <si>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</si>
  <si>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</si>
  <si>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</si>
  <si>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</si>
  <si>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</si>
  <si>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</si>
  <si>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</si>
  <si>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</si>
  <si>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</si>
  <si>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</si>
  <si>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</si>
  <si>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</si>
  <si>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</si>
  <si>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</si>
  <si>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</si>
  <si>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</si>
  <si>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</si>
  <si>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</si>
  <si>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</si>
  <si>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</si>
  <si>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</si>
  <si>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</si>
  <si>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</si>
  <si>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</si>
  <si>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</si>
  <si>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</si>
  <si>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</si>
  <si>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</si>
  <si>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</si>
  <si>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</si>
  <si>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</si>
  <si>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</si>
  <si>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</si>
  <si>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</si>
  <si>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</si>
  <si>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</si>
  <si>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</si>
  <si>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</si>
  <si>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</si>
  <si>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</si>
  <si>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</si>
  <si>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</si>
  <si>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</si>
  <si>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</si>
  <si>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</si>
  <si>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</si>
  <si>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</si>
  <si>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</si>
  <si>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</si>
  <si>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</si>
  <si>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</si>
  <si>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</si>
  <si>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</si>
  <si>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</si>
  <si>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</si>
  <si>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</si>
  <si>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</si>
  <si>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</si>
  <si>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</si>
  <si>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</si>
  <si>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</si>
  <si>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</si>
  <si>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</si>
  <si>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</si>
  <si>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</si>
  <si>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</si>
  <si>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</si>
  <si>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</si>
  <si>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</si>
  <si>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</si>
  <si>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</si>
  <si>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</si>
  <si>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</si>
  <si>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</si>
  <si>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</si>
  <si>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</si>
  <si>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</si>
  <si>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</si>
  <si>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</si>
  <si>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</si>
  <si>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</si>
  <si>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</si>
  <si>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</si>
  <si>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</si>
  <si>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</si>
  <si>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</si>
  <si>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</si>
  <si>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</si>
  <si>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</si>
  <si>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</si>
  <si>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</si>
  <si>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</si>
  <si>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</si>
  <si>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</si>
  <si>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</si>
  <si>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</si>
  <si>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</si>
  <si>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</si>
  <si>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</si>
  <si>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</si>
  <si>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</si>
  <si>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</si>
  <si>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</si>
  <si>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</si>
  <si>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</si>
  <si>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</si>
  <si>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</si>
  <si>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</si>
  <si>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</si>
  <si>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</si>
  <si>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</si>
  <si>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</si>
  <si>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</si>
  <si>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</si>
  <si>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</si>
  <si>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</si>
  <si>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</si>
  <si>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</si>
  <si>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</si>
  <si>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</si>
  <si>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</si>
  <si>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</si>
  <si>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</si>
  <si>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</si>
  <si>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</si>
  <si>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</si>
  <si>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</si>
  <si>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</si>
  <si>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</si>
  <si>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</si>
  <si>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</si>
  <si>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</si>
  <si>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</si>
  <si>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</si>
  <si>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</si>
  <si>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</si>
  <si>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</si>
  <si>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</si>
  <si>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</si>
  <si>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</si>
  <si>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</si>
  <si>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</si>
  <si>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</si>
  <si>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</si>
  <si>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</si>
  <si>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</si>
  <si>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</si>
  <si>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</si>
  <si>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</si>
  <si>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</si>
  <si>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</si>
  <si>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</si>
  <si>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</si>
  <si>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</si>
  <si>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</si>
  <si>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</si>
  <si>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</si>
  <si>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</si>
  <si>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</si>
  <si>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</si>
  <si>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</si>
  <si>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</si>
  <si>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</si>
  <si>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</si>
  <si>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</si>
  <si>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</si>
  <si>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</si>
  <si>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</si>
  <si>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</si>
  <si>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</si>
  <si>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</si>
  <si>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</si>
  <si>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</si>
  <si>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</si>
  <si>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</si>
  <si>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</si>
  <si>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</si>
  <si>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</si>
  <si>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</si>
  <si>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</si>
  <si>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</si>
  <si>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</si>
  <si>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</si>
  <si>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</si>
  <si>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</si>
  <si>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</si>
  <si>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</si>
  <si>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</si>
  <si>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</si>
  <si>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</si>
  <si>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</si>
  <si>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</si>
  <si>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</si>
  <si>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</si>
  <si>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</si>
  <si>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</si>
  <si>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</si>
  <si>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</si>
  <si>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</si>
  <si>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</si>
  <si>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</si>
  <si>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</si>
  <si>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</si>
  <si>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</si>
  <si>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</si>
  <si>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</si>
  <si>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</si>
  <si>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</si>
  <si>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</si>
  <si>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</si>
  <si>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</si>
  <si>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</si>
  <si>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</si>
  <si>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</si>
  <si>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</si>
  <si>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</si>
  <si>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</si>
  <si>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</si>
  <si>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</si>
  <si>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</si>
  <si>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</si>
  <si>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</si>
  <si>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</si>
  <si>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</si>
  <si>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</si>
  <si>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</si>
  <si>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</si>
  <si>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</si>
  <si>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</si>
  <si>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</si>
  <si>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</si>
  <si>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</si>
  <si>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</si>
  <si>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</si>
  <si>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</si>
  <si>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</si>
  <si>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</si>
  <si>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</si>
  <si>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</si>
  <si>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</si>
  <si>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</si>
  <si>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</si>
  <si>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</si>
  <si>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</si>
  <si>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</si>
  <si>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</si>
  <si>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</si>
  <si>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</si>
  <si>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</si>
  <si>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</si>
  <si>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</si>
  <si>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</si>
  <si>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</si>
  <si>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</si>
  <si>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</si>
  <si>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</si>
  <si>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</si>
  <si>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</si>
  <si>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</si>
  <si>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</si>
  <si>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</si>
  <si>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</si>
  <si>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</si>
  <si>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</si>
  <si>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</si>
  <si>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</si>
  <si>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</si>
  <si>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</si>
  <si>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</si>
  <si>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</si>
  <si>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</si>
  <si>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</si>
  <si>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</si>
  <si>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</si>
  <si>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</si>
  <si>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</si>
  <si>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</si>
  <si>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</si>
  <si>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</si>
  <si>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</si>
  <si>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</si>
  <si>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</si>
  <si>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</si>
  <si>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</si>
  <si>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</si>
  <si>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</si>
  <si>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</si>
  <si>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</si>
  <si>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</si>
  <si>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</si>
  <si>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</si>
  <si>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</si>
  <si>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</si>
  <si>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</si>
  <si>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</si>
  <si>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</si>
  <si>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</si>
  <si>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</si>
  <si>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</si>
  <si>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</si>
  <si>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</si>
  <si>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</si>
  <si>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</si>
  <si>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</si>
  <si>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</si>
  <si>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</si>
  <si>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</si>
  <si>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</si>
  <si>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</si>
  <si>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</si>
  <si>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</si>
  <si>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</si>
  <si>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</si>
  <si>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</si>
  <si>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</si>
  <si>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</si>
  <si>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</si>
  <si>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</si>
  <si>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</si>
  <si>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</si>
  <si>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</si>
  <si>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</si>
  <si>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</si>
  <si>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</si>
  <si>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</si>
  <si>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</si>
  <si>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</si>
  <si>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</si>
  <si>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</si>
  <si>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</si>
  <si>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</si>
  <si>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</si>
  <si>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</si>
  <si>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</si>
  <si>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</si>
  <si>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</si>
  <si>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</si>
  <si>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</si>
  <si>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</si>
  <si>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</si>
  <si>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</si>
  <si>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</si>
  <si>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</si>
  <si>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</si>
  <si>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</si>
  <si>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</si>
  <si>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</si>
  <si>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</si>
  <si>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</si>
  <si>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</si>
  <si>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</si>
  <si>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</si>
  <si>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</si>
  <si>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</si>
  <si>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</si>
  <si>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</si>
  <si>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</si>
  <si>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</si>
  <si>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</si>
  <si>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</si>
  <si>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</si>
  <si>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</si>
  <si>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</si>
  <si>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</si>
  <si>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</si>
  <si>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</si>
  <si>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</si>
  <si>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</si>
  <si>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</si>
  <si>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</si>
  <si>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</si>
  <si>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</si>
  <si>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</si>
  <si>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</si>
  <si>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</si>
  <si>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</si>
  <si>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</si>
  <si>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</si>
  <si>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</si>
  <si>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</si>
  <si>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</si>
  <si>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</si>
  <si>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</si>
  <si>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</si>
  <si>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</si>
  <si>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</si>
  <si>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</si>
  <si>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</si>
  <si>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</si>
  <si>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</si>
  <si>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</si>
  <si>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</si>
  <si>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</si>
  <si>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</si>
  <si>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</si>
  <si>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</si>
  <si>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</si>
  <si>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</si>
  <si>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</si>
  <si>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</si>
  <si>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</si>
  <si>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</si>
  <si>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</si>
  <si>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</si>
  <si>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</si>
  <si>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</si>
  <si>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</si>
  <si>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</si>
  <si>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</si>
  <si>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</si>
  <si>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</si>
  <si>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</si>
  <si>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</si>
  <si>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</si>
  <si>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</si>
  <si>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</si>
  <si>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</si>
  <si>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</si>
  <si>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</si>
  <si>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</si>
  <si>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</si>
  <si>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</si>
  <si>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</si>
  <si>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</si>
  <si>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</si>
  <si>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</si>
  <si>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</si>
  <si>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</si>
  <si>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</si>
  <si>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</si>
  <si>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</si>
  <si>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</si>
  <si>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</si>
  <si>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</si>
  <si>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</si>
  <si>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</si>
  <si>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</si>
  <si>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</si>
  <si>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</si>
  <si>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</si>
  <si>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</si>
  <si>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</si>
  <si>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</si>
  <si>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</si>
  <si>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</si>
  <si>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</si>
  <si>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</si>
  <si>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</si>
  <si>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</si>
  <si>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</si>
  <si>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</si>
  <si>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</si>
  <si>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</si>
  <si>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</si>
  <si>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</si>
  <si>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</si>
  <si>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</si>
  <si>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</si>
  <si>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</si>
  <si>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</si>
  <si>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</si>
  <si>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</si>
  <si>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</si>
  <si>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</si>
  <si>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</si>
  <si>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</si>
  <si>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</si>
  <si>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</si>
  <si>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</si>
  <si>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</si>
  <si>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</si>
  <si>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</si>
  <si>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</si>
  <si>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</si>
  <si>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</si>
  <si>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</si>
  <si>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</si>
  <si>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</si>
  <si>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</si>
  <si>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</si>
  <si>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</si>
  <si>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</si>
  <si>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</si>
  <si>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</si>
  <si>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</si>
  <si>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</si>
  <si>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</si>
  <si>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</si>
  <si>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</si>
  <si>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</si>
  <si>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</si>
  <si>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</si>
  <si>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</si>
  <si>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</si>
  <si>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</si>
  <si>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</si>
  <si>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</si>
  <si>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</si>
  <si>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</si>
  <si>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</si>
  <si>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</si>
  <si>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</si>
  <si>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</si>
  <si>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</si>
  <si>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</si>
  <si>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</si>
  <si>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</si>
  <si>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</si>
  <si>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</si>
  <si>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</si>
  <si>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</si>
  <si>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</si>
  <si>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</si>
  <si>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</si>
  <si>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</si>
  <si>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</si>
  <si>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</si>
  <si>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</si>
  <si>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</si>
  <si>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</si>
  <si>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</si>
  <si>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</si>
  <si>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</si>
  <si>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</si>
  <si>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</si>
  <si>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</si>
  <si>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</si>
  <si>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</si>
  <si>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</si>
  <si>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</si>
  <si>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</si>
  <si>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</si>
  <si>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</si>
  <si>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</si>
  <si>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</si>
  <si>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</si>
  <si>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</si>
  <si>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</si>
  <si>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</si>
  <si>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</si>
  <si>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</si>
  <si>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</si>
  <si>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</si>
  <si>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</si>
  <si>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</si>
  <si>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</si>
  <si>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</si>
  <si>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</si>
  <si>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</si>
  <si>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</si>
  <si>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</si>
  <si>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</si>
  <si>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</si>
  <si>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</si>
  <si>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</si>
  <si>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</si>
  <si>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</si>
  <si>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</si>
  <si>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</si>
  <si>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</si>
  <si>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</si>
  <si>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</si>
  <si>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</si>
  <si>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</si>
  <si>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</si>
  <si>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</si>
  <si>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</si>
  <si>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</si>
  <si>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</si>
  <si>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</si>
  <si>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</si>
  <si>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</si>
  <si>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</si>
  <si>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</si>
  <si>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</si>
  <si>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</si>
  <si>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</si>
  <si>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</si>
  <si>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</si>
  <si>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</si>
  <si>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</si>
  <si>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</si>
  <si>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</si>
  <si>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</si>
  <si>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</si>
  <si>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</si>
  <si>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</si>
  <si>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</si>
  <si>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</si>
  <si>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</si>
  <si>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</si>
  <si>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</si>
  <si>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</si>
  <si>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</si>
  <si>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</si>
  <si>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</si>
  <si>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</si>
  <si>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</si>
  <si>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</si>
  <si>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</si>
  <si>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</si>
  <si>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</si>
  <si>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</si>
  <si>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</si>
  <si>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</si>
  <si>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</si>
  <si>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</si>
  <si>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</si>
  <si>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</si>
  <si>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</si>
  <si>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</si>
  <si>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</si>
  <si>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</si>
  <si>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</si>
  <si>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</si>
  <si>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</si>
  <si>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</si>
  <si>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</si>
  <si>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</si>
  <si>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</si>
  <si>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</si>
  <si>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</si>
  <si>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</si>
  <si>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</si>
  <si>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</si>
  <si>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</si>
  <si>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</si>
  <si>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</si>
  <si>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</si>
  <si>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</si>
  <si>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</si>
  <si>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</si>
  <si>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</si>
  <si>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</si>
  <si>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</si>
  <si>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</si>
  <si>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</si>
  <si>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</si>
  <si>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</si>
  <si>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</si>
  <si>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</si>
  <si>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</si>
  <si>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</si>
  <si>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</si>
  <si>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</si>
  <si>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</si>
  <si>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</si>
  <si>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</si>
  <si>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</si>
  <si>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</si>
  <si>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</si>
  <si>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</si>
  <si>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</si>
  <si>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</si>
  <si>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</si>
  <si>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</si>
  <si>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</si>
  <si>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</si>
  <si>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</si>
  <si>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</si>
  <si>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</si>
  <si>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</si>
  <si>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</si>
  <si>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</si>
  <si>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</si>
  <si>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</si>
  <si>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</si>
  <si>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</si>
  <si>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</si>
  <si>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</si>
  <si>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</si>
  <si>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</si>
  <si>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</si>
  <si>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</si>
  <si>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</si>
  <si>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</si>
  <si>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</si>
  <si>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</si>
  <si>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</si>
  <si>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</si>
  <si>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</si>
  <si>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</si>
  <si>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</si>
  <si>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</si>
  <si>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</si>
  <si>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</si>
  <si>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</si>
  <si>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</si>
  <si>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</si>
  <si>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</si>
  <si>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</si>
  <si>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</si>
  <si>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</si>
  <si>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</si>
  <si>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</si>
  <si>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</si>
  <si>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</si>
  <si>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</si>
  <si>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</si>
  <si>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</si>
  <si>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</si>
  <si>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</si>
  <si>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</si>
  <si>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</si>
  <si>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</si>
  <si>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</si>
  <si>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</si>
  <si>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</si>
  <si>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</si>
  <si>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</si>
  <si>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</si>
  <si>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</si>
  <si>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</si>
  <si>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</si>
  <si>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</si>
  <si>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</si>
  <si>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</si>
  <si>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</si>
  <si>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</si>
  <si>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</si>
  <si>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</si>
  <si>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</si>
  <si>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</si>
  <si>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</si>
  <si>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</si>
  <si>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</si>
  <si>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</si>
  <si>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</si>
  <si>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</si>
  <si>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</si>
  <si>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</si>
  <si>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</si>
  <si>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</si>
  <si>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</si>
  <si>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</si>
  <si>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</si>
  <si>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</si>
  <si>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</si>
  <si>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</si>
  <si>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</si>
  <si>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</si>
  <si>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</si>
  <si>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</si>
  <si>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</si>
  <si>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</si>
  <si>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</si>
  <si>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</si>
  <si>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</si>
  <si>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</si>
  <si>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</si>
  <si>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</si>
  <si>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</si>
  <si>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</si>
  <si>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</si>
  <si>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</si>
  <si>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</si>
  <si>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</si>
  <si>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</si>
  <si>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</si>
  <si>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</si>
  <si>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</si>
  <si>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</si>
  <si>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</si>
  <si>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</si>
  <si>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</si>
  <si>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</si>
  <si>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</si>
  <si>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</si>
  <si>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</si>
  <si>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</si>
  <si>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</si>
  <si>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</si>
  <si>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</si>
  <si>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</si>
  <si>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</si>
  <si>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</si>
  <si>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</si>
  <si>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</si>
  <si>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</si>
  <si>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</si>
  <si>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</si>
  <si>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</si>
  <si>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</si>
  <si>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</si>
  <si>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</si>
  <si>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</si>
  <si>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</si>
  <si>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</si>
  <si>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</si>
  <si>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</si>
  <si>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</si>
  <si>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</si>
  <si>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</si>
  <si>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</si>
  <si>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</si>
  <si>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</si>
  <si>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</si>
  <si>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</si>
  <si>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</si>
  <si>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</si>
  <si>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</si>
  <si>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</si>
  <si>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</si>
  <si>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</si>
  <si>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</si>
  <si>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</si>
  <si>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</si>
  <si>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</si>
  <si>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</si>
  <si>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</si>
  <si>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</si>
  <si>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</si>
  <si>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</si>
  <si>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</si>
  <si>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</si>
  <si>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</si>
  <si>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</si>
  <si>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</si>
  <si>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</si>
  <si>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</si>
  <si>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</si>
  <si>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</si>
  <si>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</si>
  <si>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</si>
  <si>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</si>
  <si>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</si>
  <si>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</si>
  <si>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</si>
  <si>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</si>
  <si>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</si>
  <si>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</si>
  <si>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</si>
  <si>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</si>
  <si>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</si>
  <si>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</si>
  <si>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</si>
  <si>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</si>
  <si>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</si>
  <si>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</si>
  <si>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</si>
  <si>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</si>
  <si>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</si>
  <si>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</si>
  <si>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</si>
  <si>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</si>
  <si>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</si>
  <si>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</si>
  <si>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</si>
  <si>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</si>
  <si>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</si>
  <si>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</si>
  <si>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</si>
  <si>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</si>
  <si>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</si>
  <si>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</si>
  <si>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</si>
  <si>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</si>
  <si>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</si>
  <si>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</si>
  <si>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</si>
  <si>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</si>
  <si>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</si>
  <si>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</si>
  <si>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</si>
  <si>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</si>
  <si>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</si>
  <si>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</si>
  <si>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</si>
  <si>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</si>
  <si>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</si>
  <si>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</si>
  <si>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</si>
  <si>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</si>
  <si>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</si>
  <si>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</si>
  <si>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</si>
  <si>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</si>
  <si>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</si>
  <si>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</si>
  <si>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</si>
  <si>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</si>
  <si>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</si>
  <si>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</si>
  <si>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</si>
  <si>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</si>
  <si>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</si>
  <si>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</si>
  <si>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</si>
  <si>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</si>
  <si>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</si>
  <si>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</si>
  <si>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</si>
  <si>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</si>
  <si>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</si>
  <si>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</si>
  <si>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</si>
  <si>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</si>
  <si>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</si>
  <si>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</si>
  <si>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</si>
  <si>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</si>
  <si>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</si>
  <si>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</si>
  <si>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</si>
  <si>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</si>
  <si>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</si>
  <si>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</si>
  <si>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</si>
  <si>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</si>
  <si>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</si>
  <si>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</si>
  <si>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</si>
  <si>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</si>
  <si>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</si>
  <si>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</si>
  <si>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</si>
  <si>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</si>
  <si>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</si>
  <si>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</si>
  <si>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</si>
  <si>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</si>
  <si>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</si>
  <si>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</si>
  <si>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</si>
  <si>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</si>
  <si>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</si>
  <si>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</si>
  <si>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</si>
  <si>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</si>
  <si>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</si>
  <si>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</si>
  <si>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</si>
  <si>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</si>
  <si>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</si>
  <si>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</si>
  <si>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</si>
  <si>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</si>
  <si>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</si>
  <si>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</si>
  <si>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</si>
  <si>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</si>
  <si>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</si>
  <si>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</si>
  <si>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</si>
  <si>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</si>
  <si>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</si>
  <si>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</si>
  <si>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</si>
  <si>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</si>
  <si>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</si>
  <si>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</si>
  <si>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</si>
  <si>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</si>
  <si>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</si>
  <si>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</si>
  <si>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</si>
  <si>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</si>
  <si>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</si>
  <si>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</si>
  <si>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</si>
  <si>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</si>
  <si>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</si>
  <si>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</si>
  <si>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</si>
  <si>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</si>
  <si>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</si>
  <si>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</si>
  <si>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</si>
  <si>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</si>
  <si>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</si>
  <si>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</si>
  <si>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</si>
  <si>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</si>
  <si>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</si>
  <si>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</si>
  <si>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</si>
  <si>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</si>
  <si>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</si>
  <si>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</si>
  <si>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</si>
  <si>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</si>
  <si>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</si>
  <si>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</si>
  <si>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</si>
  <si>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</si>
  <si>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</si>
  <si>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</si>
  <si>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</si>
  <si>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</si>
  <si>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</si>
  <si>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</si>
  <si>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</si>
  <si>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</si>
  <si>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</si>
  <si>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</si>
  <si>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</si>
  <si>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</si>
  <si>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</si>
  <si>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</si>
  <si>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</si>
  <si>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</si>
  <si>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</si>
  <si>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</si>
  <si>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</si>
  <si>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</si>
  <si>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</si>
  <si>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</si>
  <si>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</si>
  <si>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</si>
  <si>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</si>
  <si>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</si>
  <si>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</si>
  <si>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</si>
  <si>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</si>
  <si>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</si>
  <si>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</si>
  <si>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</si>
  <si>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</si>
  <si>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</si>
  <si>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</si>
  <si>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</si>
  <si>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</si>
  <si>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</si>
  <si>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</si>
  <si>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</si>
  <si>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</si>
  <si>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</si>
  <si>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</si>
  <si>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</si>
  <si>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</si>
  <si>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</si>
  <si>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</si>
  <si>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</si>
  <si>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</si>
  <si>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</si>
  <si>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</si>
  <si>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</si>
  <si>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</si>
  <si>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</si>
  <si>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</si>
  <si>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</si>
  <si>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</si>
  <si>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</si>
  <si>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</si>
  <si>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</si>
  <si>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</si>
  <si>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</si>
  <si>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</si>
  <si>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</si>
  <si>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</si>
  <si>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</si>
  <si>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</si>
  <si>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</si>
  <si>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</si>
  <si>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</si>
  <si>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</si>
  <si>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</si>
  <si>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</si>
  <si>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</si>
  <si>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</si>
  <si>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</si>
  <si>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</si>
  <si>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</si>
  <si>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</si>
  <si>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</si>
  <si>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</si>
  <si>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</si>
  <si>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</si>
  <si>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</si>
  <si>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</si>
  <si>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</si>
  <si>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</si>
  <si>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</si>
  <si>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</si>
  <si>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</si>
  <si>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</si>
  <si>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</si>
  <si>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</si>
  <si>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</si>
  <si>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</si>
  <si>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</si>
  <si>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</si>
  <si>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</si>
  <si>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</si>
  <si>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</si>
  <si>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</si>
  <si>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</si>
  <si>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</si>
  <si>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</si>
  <si>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</si>
  <si>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</si>
  <si>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</si>
  <si>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</si>
  <si>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</si>
  <si>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</si>
  <si>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</si>
  <si>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</si>
  <si>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</si>
  <si>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</si>
  <si>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</si>
  <si>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</si>
  <si>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</si>
  <si>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</si>
  <si>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</si>
  <si>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</si>
  <si>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</si>
  <si>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</si>
  <si>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</si>
  <si>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</si>
  <si>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</si>
  <si>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</si>
  <si>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</si>
  <si>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</si>
  <si>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</si>
  <si>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</si>
  <si>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</si>
  <si>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</si>
  <si>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</si>
  <si>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</si>
  <si>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</si>
  <si>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</si>
  <si>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</si>
  <si>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</si>
  <si>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</si>
  <si>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</si>
  <si>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</si>
  <si>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</si>
  <si>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</si>
  <si>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</si>
  <si>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</si>
  <si>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</si>
  <si>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</si>
  <si>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</si>
  <si>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</si>
  <si>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</si>
  <si>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</si>
  <si>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</si>
  <si>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</si>
  <si>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</si>
  <si>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</si>
  <si>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</si>
  <si>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</si>
  <si>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</si>
  <si>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</si>
  <si>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</si>
  <si>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</si>
  <si>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</si>
  <si>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</si>
  <si>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</si>
  <si>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</si>
  <si>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</si>
  <si>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</si>
  <si>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</si>
  <si>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</si>
  <si>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</si>
  <si>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</si>
  <si>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</si>
  <si>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</si>
  <si>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</si>
  <si>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</si>
  <si>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</si>
  <si>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</si>
  <si>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</si>
  <si>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</si>
  <si>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</si>
  <si>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</si>
  <si>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</si>
  <si>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</si>
  <si>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</si>
  <si>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</si>
  <si>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</si>
  <si>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</si>
  <si>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</si>
  <si>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</si>
  <si>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</si>
  <si>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</si>
  <si>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</si>
  <si>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</si>
  <si>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</si>
  <si>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</si>
  <si>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</si>
  <si>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</si>
  <si>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</si>
  <si>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</si>
  <si>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</si>
  <si>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</si>
  <si>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</si>
  <si>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</si>
  <si>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</si>
  <si>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</si>
  <si>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</si>
  <si>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</si>
  <si>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</si>
  <si>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</si>
  <si>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</si>
  <si>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</si>
  <si>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</si>
  <si>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</si>
  <si>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</si>
  <si>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</si>
  <si>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</si>
  <si>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</si>
  <si>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</si>
  <si>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</si>
  <si>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</si>
  <si>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</si>
  <si>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</si>
  <si>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</si>
  <si>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</si>
  <si>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</si>
  <si>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</si>
  <si>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</si>
  <si>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</si>
  <si>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</si>
  <si>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</si>
  <si>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</si>
  <si>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</si>
  <si>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</si>
  <si>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</si>
  <si>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</si>
  <si>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</si>
  <si>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</si>
  <si>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</si>
  <si>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</si>
  <si>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</si>
  <si>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</si>
  <si>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</si>
  <si>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</si>
  <si>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</si>
  <si>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</si>
  <si>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</si>
  <si>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</si>
  <si>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</si>
  <si>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</si>
  <si>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</si>
  <si>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</si>
  <si>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</si>
  <si>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</si>
  <si>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</si>
  <si>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</si>
  <si>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</si>
  <si>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</si>
  <si>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</si>
  <si>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</si>
  <si>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</si>
  <si>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</si>
  <si>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</si>
  <si>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</si>
  <si>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</si>
  <si>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</si>
  <si>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</si>
  <si>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</si>
  <si>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</si>
  <si>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</si>
  <si>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</si>
  <si>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</si>
  <si>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</si>
  <si>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</si>
  <si>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</si>
  <si>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</si>
  <si>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</si>
  <si>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</si>
  <si>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</si>
  <si>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</si>
  <si>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</si>
  <si>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</si>
  <si>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</si>
  <si>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</si>
  <si>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</si>
  <si>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</si>
  <si>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</si>
  <si>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</si>
  <si>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</si>
  <si>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</si>
  <si>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</si>
  <si>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</si>
  <si>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</si>
  <si>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</si>
  <si>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</si>
  <si>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</si>
  <si>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</si>
  <si>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</si>
  <si>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</si>
  <si>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</si>
  <si>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</si>
  <si>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</si>
  <si>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</si>
  <si>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</si>
  <si>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</si>
  <si>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</si>
  <si>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</si>
  <si>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</si>
  <si>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</si>
  <si>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</si>
  <si>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</si>
  <si>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</si>
  <si>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</si>
  <si>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</si>
  <si>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</si>
  <si>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</si>
  <si>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</si>
  <si>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</si>
  <si>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</si>
  <si>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</si>
  <si>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</si>
  <si>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</si>
  <si>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</si>
  <si>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</si>
  <si>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</si>
  <si>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</si>
  <si>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</si>
  <si>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</si>
  <si>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</si>
  <si>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</si>
  <si>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</si>
  <si>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</si>
  <si>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</si>
  <si>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</si>
  <si>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</si>
  <si>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</si>
  <si>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</si>
  <si>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</si>
  <si>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</si>
  <si>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</si>
  <si>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</si>
  <si>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</si>
  <si>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</si>
  <si>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</si>
  <si>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</si>
  <si>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</si>
  <si>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</si>
  <si>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</si>
  <si>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</si>
  <si>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</si>
  <si>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</si>
  <si>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</si>
  <si>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</si>
  <si>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</si>
  <si>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</si>
  <si>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</si>
  <si>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</si>
  <si>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</si>
  <si>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</si>
  <si>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</si>
  <si>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</si>
  <si>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</si>
  <si>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</si>
  <si>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</si>
  <si>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</si>
  <si>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</si>
  <si>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</si>
  <si>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</si>
  <si>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</si>
  <si>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</si>
  <si>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</si>
  <si>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</si>
  <si>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</si>
  <si>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</si>
  <si>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</si>
  <si>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</si>
  <si>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</si>
  <si>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</si>
  <si>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</si>
  <si>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</si>
  <si>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</si>
  <si>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</si>
  <si>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</si>
  <si>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</si>
  <si>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</si>
  <si>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</si>
  <si>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</si>
  <si>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</si>
  <si>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</si>
  <si>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</si>
  <si>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</si>
  <si>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</si>
  <si>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</si>
  <si>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</si>
  <si>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</si>
  <si>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</si>
  <si>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</si>
  <si>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</si>
  <si>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</si>
  <si>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</si>
  <si>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</si>
  <si>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</si>
  <si>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</si>
  <si>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</si>
  <si>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</si>
  <si>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</si>
  <si>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</si>
  <si>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</si>
  <si>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</si>
  <si>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</si>
  <si>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</si>
  <si>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</si>
  <si>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</si>
  <si>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</si>
  <si>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</si>
  <si>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</si>
  <si>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</si>
  <si>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</si>
  <si>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</si>
  <si>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</si>
  <si>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</si>
  <si>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</si>
  <si>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</si>
  <si>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</si>
  <si>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</si>
  <si>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</si>
  <si>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</si>
  <si>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</si>
  <si>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</si>
  <si>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</si>
  <si>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</si>
  <si>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</si>
  <si>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</si>
  <si>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</si>
  <si>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</si>
  <si>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</si>
  <si>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</si>
  <si>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</si>
  <si>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</si>
  <si>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</si>
  <si>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</si>
  <si>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</si>
  <si>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</si>
  <si>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</si>
  <si>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</si>
  <si>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</si>
  <si>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</si>
  <si>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</si>
  <si>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</si>
  <si>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</si>
  <si>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</si>
  <si>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</si>
  <si>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</si>
  <si>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</si>
  <si>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</si>
  <si>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</si>
  <si>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</si>
  <si>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</si>
  <si>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</si>
  <si>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</si>
  <si>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</si>
  <si>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</si>
  <si>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</si>
  <si>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</si>
  <si>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</si>
  <si>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</si>
  <si>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</si>
  <si>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</si>
  <si>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</si>
  <si>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</si>
  <si>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</si>
  <si>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</si>
  <si>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</si>
  <si>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</si>
  <si>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</si>
  <si>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</si>
  <si>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</si>
  <si>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</si>
  <si>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</si>
  <si>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</si>
  <si>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</si>
  <si>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</si>
  <si>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</si>
  <si>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</si>
  <si>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</si>
  <si>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</si>
  <si>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</si>
  <si>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</si>
  <si>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</si>
  <si>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</si>
  <si>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</si>
  <si>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</si>
  <si>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</si>
  <si>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</si>
  <si>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</si>
  <si>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</si>
  <si>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</si>
  <si>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</si>
  <si>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</si>
  <si>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</si>
  <si>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</si>
  <si>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</si>
  <si>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</si>
  <si>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</si>
  <si>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</si>
  <si>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</si>
  <si>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</si>
  <si>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</si>
  <si>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</si>
  <si>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</si>
  <si>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</si>
  <si>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</si>
  <si>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</si>
  <si>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</si>
  <si>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</si>
  <si>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</si>
  <si>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</si>
  <si>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</si>
  <si>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</si>
  <si>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</si>
  <si>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</si>
  <si>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</si>
  <si>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</si>
  <si>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</si>
  <si>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</si>
  <si>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</si>
  <si>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</si>
  <si>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</si>
  <si>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</si>
  <si>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</si>
  <si>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</si>
  <si>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</si>
  <si>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</si>
  <si>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</si>
  <si>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</si>
  <si>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</si>
  <si>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</si>
  <si>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</si>
  <si>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</si>
  <si>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</si>
  <si>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</si>
  <si>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</si>
  <si>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</si>
  <si>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</si>
  <si>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</si>
  <si>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</si>
  <si>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</si>
  <si>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</si>
  <si>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</si>
  <si>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</si>
  <si>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</si>
  <si>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</si>
  <si>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</si>
  <si>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</si>
  <si>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</si>
  <si>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</si>
  <si>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</si>
  <si>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</si>
  <si>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</si>
  <si>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</si>
  <si>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</si>
  <si>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</si>
  <si>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</si>
  <si>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</si>
  <si>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</si>
  <si>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</si>
  <si>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</si>
  <si>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</si>
  <si>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</si>
  <si>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</si>
  <si>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</si>
  <si>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</si>
  <si>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</si>
  <si>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</si>
  <si>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</si>
  <si>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</si>
  <si>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</si>
  <si>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</si>
  <si>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</si>
  <si>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</si>
  <si>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</si>
  <si>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</si>
  <si>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</si>
  <si>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</si>
  <si>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</si>
  <si>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</si>
  <si>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</si>
  <si>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</si>
  <si>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</si>
  <si>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</si>
  <si>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</si>
  <si>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</si>
  <si>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</si>
  <si>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</si>
  <si>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</si>
  <si>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</si>
  <si>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</si>
  <si>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</si>
  <si>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</si>
  <si>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</si>
  <si>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</si>
  <si>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</si>
  <si>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</si>
  <si>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</si>
  <si>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</si>
  <si>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</si>
  <si>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</si>
  <si>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</si>
  <si>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</si>
  <si>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</si>
  <si>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</si>
  <si>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</si>
  <si>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</si>
  <si>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</si>
  <si>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</si>
  <si>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</si>
  <si>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</si>
  <si>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</si>
  <si>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</si>
  <si>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</si>
  <si>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</si>
  <si>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</si>
  <si>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</si>
  <si>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</si>
  <si>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</si>
  <si>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</si>
  <si>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</si>
  <si>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</si>
  <si>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</si>
  <si>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</si>
  <si>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</si>
  <si>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</si>
  <si>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</si>
  <si>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</si>
  <si>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</si>
  <si>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</si>
  <si>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</si>
  <si>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</si>
  <si>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</si>
  <si>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</si>
  <si>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</si>
  <si>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</si>
  <si>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</si>
  <si>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</si>
  <si>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</si>
  <si>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</si>
  <si>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</si>
  <si>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</si>
  <si>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</si>
  <si>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</si>
  <si>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</si>
  <si>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</si>
  <si>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</si>
  <si>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</si>
  <si>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</si>
  <si>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</si>
  <si>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</si>
  <si>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</si>
  <si>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</si>
  <si>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</si>
  <si>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</si>
  <si>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</si>
  <si>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</si>
  <si>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</si>
  <si>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</si>
  <si>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</si>
  <si>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</si>
  <si>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</si>
  <si>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</si>
  <si>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</si>
  <si>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</si>
  <si>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</si>
  <si>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</si>
  <si>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</si>
  <si>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</si>
  <si>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</si>
  <si>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</si>
  <si>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</si>
  <si>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</si>
  <si>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</si>
  <si>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</si>
  <si>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</si>
  <si>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</si>
  <si>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</si>
  <si>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</si>
  <si>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</si>
  <si>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</si>
  <si>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</si>
  <si>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</si>
  <si>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</si>
  <si>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</si>
  <si>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</si>
  <si>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</si>
  <si>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</si>
  <si>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</si>
  <si>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</si>
  <si>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</si>
  <si>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</si>
  <si>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</si>
  <si>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</si>
  <si>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</si>
  <si>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</si>
  <si>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</si>
  <si>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</si>
  <si>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</si>
  <si>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</si>
  <si>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</si>
  <si>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</si>
  <si>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</si>
  <si>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</si>
  <si>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</si>
  <si>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</si>
  <si>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</si>
  <si>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</si>
  <si>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</si>
  <si>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</si>
  <si>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</si>
  <si>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</si>
  <si>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</si>
  <si>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</si>
  <si>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</si>
  <si>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</si>
  <si>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</si>
  <si>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</si>
  <si>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</si>
  <si>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</si>
  <si>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</si>
  <si>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</si>
  <si>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</si>
  <si>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</si>
  <si>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</si>
  <si>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</si>
  <si>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</si>
  <si>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</si>
  <si>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</si>
  <si>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</si>
  <si>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</si>
  <si>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</si>
  <si>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</si>
  <si>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</si>
  <si>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</si>
  <si>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</si>
  <si>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</si>
  <si>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</si>
  <si>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</si>
  <si>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</si>
  <si>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</si>
  <si>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</si>
  <si>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</si>
  <si>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</si>
  <si>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</si>
  <si>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</si>
  <si>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</si>
  <si>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</si>
  <si>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</si>
  <si>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</si>
  <si>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</si>
  <si>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</si>
  <si>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</si>
  <si>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</si>
  <si>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</si>
  <si>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</si>
  <si>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</si>
  <si>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</si>
  <si>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</si>
  <si>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</si>
  <si>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</si>
  <si>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</si>
  <si>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</si>
  <si>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</si>
  <si>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</si>
  <si>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</si>
  <si>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</si>
  <si>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</si>
  <si>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</si>
  <si>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</si>
  <si>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</si>
  <si>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</si>
  <si>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</si>
  <si>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</si>
  <si>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</si>
  <si>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</si>
  <si>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</si>
  <si>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</si>
  <si>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</si>
  <si>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</si>
  <si>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</si>
  <si>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</si>
  <si>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</si>
  <si>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</si>
  <si>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</si>
  <si>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</si>
  <si>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</si>
  <si>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</si>
  <si>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</si>
  <si>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</si>
  <si>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</si>
  <si>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</si>
  <si>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</si>
  <si>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</si>
  <si>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</si>
  <si>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</si>
  <si>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</si>
  <si>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</si>
  <si>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</si>
  <si>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</si>
  <si>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</si>
  <si>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</si>
  <si>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</si>
  <si>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</si>
  <si>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</si>
  <si>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</si>
  <si>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</si>
  <si>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</si>
  <si>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</si>
  <si>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</si>
  <si>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</si>
  <si>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</si>
  <si>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</si>
  <si>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</si>
  <si>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</si>
  <si>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</si>
  <si>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</si>
  <si>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</si>
  <si>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</si>
  <si>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</si>
  <si>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</si>
  <si>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</si>
  <si>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</si>
  <si>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</si>
  <si>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</si>
  <si>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</si>
  <si>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</si>
  <si>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</si>
  <si>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</si>
  <si>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</si>
  <si>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</si>
  <si>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</si>
  <si>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</si>
  <si>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</si>
  <si>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</si>
  <si>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</si>
  <si>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</si>
  <si>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</si>
  <si>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</si>
  <si>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</si>
  <si>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</si>
  <si>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</si>
  <si>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</si>
  <si>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</si>
  <si>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</si>
  <si>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</si>
  <si>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</si>
  <si>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</si>
  <si>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</si>
  <si>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</si>
  <si>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</si>
  <si>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</si>
  <si>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</si>
  <si>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</si>
  <si>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</si>
  <si>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</si>
  <si>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</si>
  <si>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</si>
  <si>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</si>
  <si>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</si>
  <si>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</si>
  <si>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</si>
  <si>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</si>
  <si>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</si>
  <si>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</si>
  <si>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</si>
  <si>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</si>
  <si>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</si>
  <si>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</si>
  <si>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</si>
  <si>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</si>
  <si>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</si>
  <si>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</si>
  <si>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</si>
  <si>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</si>
  <si>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</si>
  <si>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</si>
  <si>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</si>
  <si>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</si>
  <si>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</si>
  <si>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</si>
  <si>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</si>
  <si>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</si>
  <si>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</si>
  <si>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</si>
  <si>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</si>
  <si>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</si>
  <si>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</si>
  <si>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</si>
  <si>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</si>
  <si>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</si>
  <si>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</si>
  <si>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</si>
  <si>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</si>
  <si>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</si>
  <si>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</si>
  <si>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</si>
  <si>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</si>
  <si>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</si>
  <si>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</si>
  <si>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</si>
  <si>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</si>
  <si>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</si>
  <si>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</si>
  <si>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</si>
  <si>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</si>
  <si>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</si>
  <si>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</si>
  <si>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</si>
  <si>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</si>
  <si>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</si>
  <si>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</si>
  <si>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</si>
  <si>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</si>
  <si>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</si>
  <si>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</si>
  <si>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</si>
  <si>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</si>
  <si>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</si>
  <si>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</si>
  <si>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</si>
  <si>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</si>
  <si>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</si>
  <si>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</si>
  <si>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</si>
  <si>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</si>
  <si>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</si>
  <si>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</si>
  <si>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</si>
  <si>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</si>
  <si>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</si>
  <si>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</si>
  <si>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</si>
  <si>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</si>
  <si>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</si>
  <si>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</si>
  <si>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</si>
  <si>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</si>
  <si>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</si>
  <si>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</si>
  <si>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</si>
  <si>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</si>
  <si>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</si>
  <si>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</si>
  <si>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</si>
  <si>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</si>
  <si>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</si>
  <si>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</si>
  <si>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</si>
  <si>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</si>
  <si>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</si>
  <si>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</si>
  <si>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</si>
  <si>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</si>
  <si>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</si>
  <si>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</si>
  <si>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</si>
  <si>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</si>
  <si>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</si>
  <si>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</si>
  <si>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</si>
  <si>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</si>
  <si>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</si>
  <si>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</si>
  <si>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</si>
  <si>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</si>
  <si>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</si>
  <si>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</si>
  <si>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</si>
  <si>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</si>
  <si>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</si>
  <si>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</si>
  <si>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</si>
  <si>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</si>
  <si>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</si>
  <si>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</si>
  <si>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</si>
  <si>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</si>
  <si>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</si>
  <si>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</si>
  <si>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</si>
  <si>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</si>
  <si>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</si>
  <si>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</si>
  <si>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</si>
  <si>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</si>
  <si>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</si>
  <si>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</si>
  <si>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</si>
  <si>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</si>
  <si>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</si>
  <si>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</si>
  <si>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</si>
  <si>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</si>
  <si>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</si>
  <si>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</si>
  <si>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</si>
  <si>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</si>
  <si>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</si>
  <si>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</si>
  <si>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</si>
  <si>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</si>
  <si>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</si>
  <si>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</si>
  <si>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</si>
  <si>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</si>
  <si>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</si>
  <si>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</si>
  <si>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</si>
  <si>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</si>
  <si>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</si>
  <si>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</si>
  <si>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</si>
  <si>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</si>
  <si>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</si>
  <si>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</si>
  <si>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</si>
  <si>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</si>
  <si>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</si>
  <si>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</si>
  <si>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</si>
  <si>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</si>
  <si>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</si>
  <si>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</si>
  <si>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</si>
  <si>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</si>
  <si>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</si>
  <si>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</si>
  <si>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</si>
  <si>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</si>
  <si>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</si>
  <si>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</si>
  <si>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</si>
  <si>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</si>
  <si>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</si>
  <si>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</si>
  <si>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</si>
  <si>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</si>
  <si>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</si>
  <si>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</si>
  <si>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</si>
  <si>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</si>
  <si>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</si>
  <si>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</si>
  <si>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</si>
  <si>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</si>
  <si>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</si>
  <si>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</si>
  <si>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</si>
  <si>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</si>
  <si>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</si>
  <si>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</si>
  <si>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</si>
  <si>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</si>
  <si>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</si>
  <si>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</si>
  <si>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</si>
  <si>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</si>
  <si>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</si>
  <si>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</si>
  <si>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</si>
  <si>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</si>
  <si>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</si>
  <si>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</si>
  <si>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</si>
  <si>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</si>
  <si>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</si>
  <si>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</si>
  <si>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</si>
  <si>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</si>
  <si>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</si>
  <si>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</si>
  <si>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</si>
  <si>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</si>
  <si>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</si>
  <si>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</si>
  <si>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</si>
  <si>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</si>
  <si>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</si>
  <si>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</si>
  <si>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</si>
  <si>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</si>
  <si>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</si>
  <si>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</si>
  <si>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</si>
  <si>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</si>
  <si>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</si>
  <si>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</si>
  <si>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</si>
  <si>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</si>
  <si>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</si>
  <si>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</si>
  <si>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</si>
  <si>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</si>
  <si>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</si>
  <si>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</si>
  <si>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</si>
  <si>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</si>
  <si>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</si>
  <si>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</si>
  <si>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</si>
  <si>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</si>
  <si>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</si>
  <si>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</si>
  <si>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</si>
  <si>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</si>
  <si>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</si>
  <si>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</si>
  <si>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</si>
  <si>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</si>
  <si>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</si>
  <si>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</si>
  <si>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</si>
  <si>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</si>
  <si>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</si>
  <si>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</si>
  <si>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</si>
  <si>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</si>
  <si>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</si>
  <si>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</si>
  <si>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</si>
  <si>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</si>
  <si>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</si>
  <si>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</si>
  <si>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</si>
  <si>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</si>
  <si>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</si>
  <si>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</si>
  <si>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</si>
  <si>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</si>
  <si>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</si>
  <si>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</si>
  <si>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</si>
  <si>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</si>
  <si>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</si>
  <si>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</si>
  <si>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</si>
  <si>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</si>
  <si>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</si>
  <si>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</si>
  <si>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</si>
  <si>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</si>
  <si>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</si>
  <si>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</si>
  <si>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</si>
  <si>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</si>
  <si>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</si>
  <si>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</si>
  <si>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</si>
  <si>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</si>
  <si>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</si>
  <si>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</si>
  <si>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</si>
  <si>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</si>
  <si>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</si>
  <si>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</si>
  <si>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</si>
  <si>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</si>
  <si>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</si>
  <si>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</si>
  <si>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</si>
  <si>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</si>
  <si>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</si>
  <si>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</si>
  <si>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</si>
  <si>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</si>
  <si>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</si>
  <si>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</si>
  <si>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</si>
  <si>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</si>
  <si>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</si>
  <si>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</si>
  <si>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</si>
  <si>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</si>
  <si>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</si>
  <si>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</si>
  <si>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</si>
  <si>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</si>
  <si>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</si>
  <si>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</si>
  <si>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</si>
  <si>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</si>
  <si>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</si>
  <si>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</si>
  <si>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</si>
  <si>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</si>
  <si>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</si>
  <si>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</si>
  <si>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</si>
  <si>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</si>
  <si>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</si>
  <si>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</si>
  <si>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</si>
  <si>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</si>
  <si>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</si>
  <si>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</si>
  <si>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</si>
  <si>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</si>
  <si>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</si>
  <si>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</si>
  <si>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</si>
  <si>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</si>
  <si>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</si>
  <si>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</si>
  <si>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</si>
  <si>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</si>
  <si>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</si>
  <si>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</si>
  <si>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</si>
  <si>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</si>
  <si>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</si>
  <si>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</si>
  <si>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</si>
  <si>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</si>
  <si>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</si>
  <si>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</si>
  <si>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</si>
  <si>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</si>
  <si>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</si>
  <si>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</si>
  <si>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</si>
  <si>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</si>
  <si>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</si>
  <si>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</si>
  <si>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</si>
  <si>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</si>
  <si>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</si>
  <si>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</si>
  <si>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</si>
  <si>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</si>
  <si>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</si>
  <si>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</si>
  <si>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</si>
  <si>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</si>
  <si>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</si>
  <si>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</si>
  <si>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</si>
  <si>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</si>
  <si>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</si>
  <si>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</si>
  <si>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</si>
  <si>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</si>
  <si>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</si>
  <si>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</si>
  <si>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</si>
  <si>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</si>
  <si>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</si>
  <si>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</si>
  <si>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</si>
  <si>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</si>
  <si>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</si>
  <si>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</si>
  <si>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</si>
  <si>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</si>
  <si>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</si>
  <si>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</si>
  <si>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</si>
  <si>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</si>
  <si>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</si>
  <si>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</si>
  <si>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</si>
  <si>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</si>
  <si>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</si>
  <si>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</si>
  <si>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</si>
  <si>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</si>
  <si>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</si>
  <si>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</si>
  <si>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</si>
  <si>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</si>
  <si>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</si>
  <si>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</si>
  <si>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</si>
  <si>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</si>
  <si>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</si>
  <si>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</si>
  <si>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</si>
  <si>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</si>
  <si>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</si>
  <si>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</si>
  <si>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</si>
  <si>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</si>
  <si>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</si>
  <si>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</si>
  <si>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</si>
  <si>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</si>
  <si>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</si>
  <si>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</si>
  <si>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</si>
  <si>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</si>
  <si>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</si>
  <si>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</si>
  <si>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</si>
  <si>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</si>
  <si>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</si>
  <si>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</si>
  <si>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</si>
  <si>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</si>
  <si>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</si>
  <si>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</si>
  <si>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</si>
  <si>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</si>
  <si>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</si>
  <si>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</si>
  <si>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</si>
  <si>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</si>
  <si>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</si>
  <si>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</si>
  <si>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</si>
  <si>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</si>
  <si>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</si>
  <si>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</si>
  <si>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</si>
  <si>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</si>
  <si>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</si>
  <si>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</si>
  <si>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</si>
  <si>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</si>
  <si>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</si>
  <si>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</si>
  <si>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</si>
  <si>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</si>
  <si>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</si>
  <si>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</si>
  <si>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</si>
  <si>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</si>
  <si>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</si>
  <si>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</si>
  <si>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</si>
  <si>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</si>
  <si>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</si>
  <si>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</si>
  <si>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</si>
  <si>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</si>
  <si>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</si>
  <si>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</si>
  <si>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</si>
  <si>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</si>
  <si>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</si>
  <si>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</si>
  <si>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</si>
  <si>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</si>
  <si>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</si>
  <si>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</si>
  <si>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</si>
  <si>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</si>
  <si>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</si>
  <si>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</si>
  <si>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</si>
  <si>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</si>
  <si>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</si>
  <si>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</si>
  <si>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</si>
  <si>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</si>
  <si>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</si>
  <si>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</si>
  <si>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</si>
  <si>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</si>
  <si>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</si>
  <si>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</si>
  <si>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</si>
  <si>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</si>
  <si>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</si>
  <si>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</si>
  <si>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</si>
  <si>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</si>
  <si>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</si>
  <si>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</si>
  <si>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</si>
  <si>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</si>
  <si>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</si>
  <si>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</si>
  <si>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</si>
  <si>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</si>
  <si>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</si>
  <si>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</si>
  <si>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</si>
  <si>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</si>
  <si>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</si>
  <si>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</si>
  <si>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</si>
  <si>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</si>
  <si>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</si>
  <si>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</si>
  <si>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</si>
  <si>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</si>
  <si>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</si>
  <si>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</si>
  <si>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</si>
  <si>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</si>
  <si>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</si>
  <si>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</si>
  <si>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</si>
  <si>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</si>
  <si>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</si>
  <si>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</si>
  <si>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</si>
  <si>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</si>
  <si>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</si>
  <si>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</si>
  <si>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</si>
  <si>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</si>
  <si>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</si>
  <si>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</si>
  <si>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</si>
  <si>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</si>
  <si>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</si>
  <si>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</si>
  <si>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</si>
  <si>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</si>
  <si>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</si>
  <si>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</si>
  <si>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</si>
  <si>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</si>
  <si>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</si>
  <si>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</si>
  <si>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</si>
  <si>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</si>
  <si>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</si>
  <si>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</si>
  <si>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</si>
  <si>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</si>
  <si>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</si>
  <si>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</si>
  <si>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</si>
  <si>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</si>
  <si>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</si>
  <si>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</si>
  <si>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</si>
  <si>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</si>
  <si>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</si>
  <si>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</si>
  <si>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</si>
  <si>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</si>
  <si>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</si>
  <si>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</si>
  <si>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</si>
  <si>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</si>
  <si>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</si>
  <si>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</si>
  <si>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</si>
  <si>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</si>
  <si>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</si>
  <si>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</si>
  <si>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</si>
  <si>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</si>
  <si>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</si>
  <si>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</si>
  <si>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</si>
  <si>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</si>
  <si>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</si>
  <si>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</si>
  <si>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</si>
  <si>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</si>
  <si>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</si>
  <si>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</si>
  <si>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</si>
  <si>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</si>
  <si>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</si>
  <si>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</si>
  <si>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</si>
  <si>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</si>
  <si>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</si>
  <si>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</si>
  <si>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</si>
  <si>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</si>
  <si>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</si>
  <si>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</si>
  <si>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</si>
  <si>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</si>
  <si>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</si>
  <si>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</si>
  <si>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</si>
  <si>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</si>
  <si>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</si>
  <si>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</si>
  <si>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</si>
  <si>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</si>
  <si>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</si>
  <si>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</si>
  <si>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</si>
  <si>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</si>
  <si>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</si>
  <si>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</si>
  <si>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</si>
  <si>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</si>
  <si>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</si>
  <si>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</si>
  <si>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</si>
  <si>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</si>
  <si>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</si>
  <si>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</si>
  <si>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</si>
  <si>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</si>
  <si>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</si>
  <si>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</si>
  <si>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</si>
  <si>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</si>
  <si>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</si>
  <si>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</si>
  <si>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</si>
  <si>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</si>
  <si>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</si>
  <si>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</si>
  <si>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</si>
  <si>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</si>
  <si>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</si>
  <si>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</si>
  <si>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</si>
  <si>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</si>
  <si>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</si>
  <si>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</si>
  <si>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</si>
  <si>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</si>
  <si>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</si>
  <si>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</si>
  <si>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</si>
  <si>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</si>
  <si>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</si>
  <si>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</si>
  <si>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</si>
  <si>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</si>
  <si>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</si>
  <si>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</si>
  <si>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</si>
  <si>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</si>
  <si>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</si>
  <si>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</si>
  <si>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</si>
  <si>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</si>
  <si>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</si>
  <si>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</si>
  <si>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</si>
  <si>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</si>
  <si>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</si>
  <si>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</si>
  <si>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</si>
  <si>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</si>
  <si>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</si>
  <si>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</si>
  <si>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</si>
  <si>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</si>
  <si>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</si>
  <si>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</si>
  <si>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</si>
  <si>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</si>
  <si>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</si>
  <si>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</si>
  <si>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</si>
  <si>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</si>
  <si>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</si>
  <si>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</si>
  <si>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</si>
  <si>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</si>
  <si>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</si>
  <si>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</si>
  <si>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</si>
  <si>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</si>
  <si>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</si>
  <si>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</si>
  <si>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</si>
  <si>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</si>
  <si>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</si>
  <si>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</si>
  <si>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</si>
  <si>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</si>
  <si>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</si>
  <si>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</si>
  <si>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</si>
  <si>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</si>
  <si>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</si>
  <si>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</si>
  <si>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</si>
  <si>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</si>
  <si>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</si>
  <si>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</si>
  <si>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</si>
  <si>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</si>
  <si>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</si>
  <si>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</si>
  <si>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</si>
  <si>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</si>
  <si>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</si>
  <si>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</si>
  <si>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</si>
  <si>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</si>
  <si>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</si>
  <si>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</si>
  <si>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</si>
  <si>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</si>
  <si>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</si>
  <si>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</si>
  <si>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</si>
  <si>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</si>
  <si>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</si>
  <si>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</si>
  <si>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</si>
  <si>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</si>
  <si>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</si>
  <si>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</si>
  <si>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</si>
  <si>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</si>
  <si>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</si>
  <si>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</si>
  <si>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</si>
  <si>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</si>
  <si>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</si>
  <si>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</si>
  <si>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</si>
  <si>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</si>
  <si>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</si>
  <si>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</si>
  <si>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</si>
  <si>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</si>
  <si>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</si>
  <si>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</si>
  <si>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</si>
  <si>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</si>
  <si>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</si>
  <si>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</si>
  <si>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</si>
  <si>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</si>
  <si>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</si>
  <si>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</si>
  <si>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</si>
  <si>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</si>
  <si>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</si>
  <si>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</si>
  <si>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</si>
  <si>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</si>
  <si>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</si>
  <si>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</si>
  <si>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</si>
  <si>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</si>
  <si>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</si>
  <si>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</si>
  <si>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</si>
  <si>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</si>
  <si>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</si>
  <si>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</si>
  <si>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</si>
  <si>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</si>
  <si>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</si>
  <si>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</si>
  <si>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</si>
  <si>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</si>
  <si>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</si>
  <si>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</si>
  <si>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</si>
  <si>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</si>
  <si>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</si>
  <si>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</si>
  <si>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</si>
  <si>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</si>
  <si>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</si>
  <si>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</si>
  <si>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</si>
  <si>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</si>
  <si>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</si>
  <si>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</si>
  <si>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</si>
  <si>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</si>
  <si>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</si>
  <si>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</si>
  <si>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</si>
  <si>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</si>
  <si>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</si>
  <si>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</si>
  <si>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</si>
  <si>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</si>
  <si>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</si>
  <si>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</si>
  <si>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</si>
  <si>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</si>
  <si>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</si>
  <si>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</si>
  <si>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</si>
  <si>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</si>
  <si>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</si>
  <si>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</si>
  <si>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</si>
  <si>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</si>
  <si>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</si>
  <si>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</si>
  <si>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</si>
  <si>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</si>
  <si>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</si>
  <si>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</si>
  <si>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</si>
  <si>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</si>
  <si>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</si>
  <si>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</si>
  <si>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</si>
  <si>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</si>
  <si>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</si>
  <si>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</si>
  <si>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</si>
  <si>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</si>
  <si>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</si>
  <si>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</si>
  <si>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</si>
  <si>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</si>
  <si>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</si>
  <si>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</si>
  <si>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</si>
  <si>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</si>
  <si>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</si>
  <si>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</si>
  <si>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</si>
  <si>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</si>
  <si>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</si>
  <si>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</si>
  <si>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</si>
  <si>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</si>
  <si>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</si>
  <si>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</si>
  <si>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</si>
  <si>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</si>
  <si>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</si>
  <si>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</si>
  <si>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</si>
  <si>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</si>
  <si>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</si>
  <si>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</si>
  <si>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</si>
  <si>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</si>
  <si>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</si>
  <si>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</si>
  <si>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</si>
  <si>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</si>
  <si>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</si>
  <si>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</si>
  <si>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</si>
  <si>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</si>
  <si>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</si>
  <si>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</si>
  <si>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</si>
  <si>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</si>
  <si>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</si>
  <si>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</si>
  <si>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</si>
  <si>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</si>
  <si>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</si>
  <si>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</si>
  <si>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</si>
  <si>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</si>
  <si>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</si>
  <si>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</si>
  <si>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</si>
  <si>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</si>
  <si>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</si>
  <si>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</si>
  <si>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</si>
  <si>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</si>
  <si>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</si>
  <si>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</si>
  <si>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</si>
  <si>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</si>
  <si>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</si>
  <si>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</si>
  <si>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</si>
  <si>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</si>
  <si>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</si>
  <si>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</si>
  <si>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</si>
  <si>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</si>
  <si>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</si>
  <si>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</si>
  <si>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</si>
  <si>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</si>
  <si>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</si>
  <si>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</si>
  <si>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</si>
  <si>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</si>
  <si>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</si>
  <si>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</si>
  <si>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</si>
  <si>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</si>
  <si>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</si>
  <si>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</si>
  <si>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</si>
  <si>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</si>
  <si>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</si>
  <si>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</si>
  <si>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</si>
  <si>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</si>
  <si>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</si>
  <si>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</si>
  <si>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</si>
  <si>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</si>
  <si>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</si>
  <si>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</si>
  <si>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</si>
  <si>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</si>
  <si>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</si>
  <si>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</si>
  <si>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</si>
  <si>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</si>
  <si>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</si>
  <si>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</si>
  <si>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</si>
  <si>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</si>
  <si>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</si>
  <si>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</si>
  <si>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</si>
  <si>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</si>
  <si>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</si>
  <si>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</si>
  <si>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</si>
  <si>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</si>
  <si>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</si>
  <si>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</si>
  <si>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</si>
  <si>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</si>
  <si>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</si>
  <si>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</si>
  <si>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</si>
  <si>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</si>
  <si>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</si>
  <si>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</si>
  <si>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</si>
  <si>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</si>
  <si>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</si>
  <si>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</si>
  <si>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</si>
  <si>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</si>
  <si>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</si>
  <si>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</si>
  <si>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</si>
  <si>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</si>
  <si>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</si>
  <si>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</si>
  <si>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</si>
  <si>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</si>
  <si>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</si>
  <si>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</si>
  <si>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</si>
  <si>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</si>
  <si>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</si>
  <si>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</si>
  <si>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</si>
  <si>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</si>
  <si>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</si>
  <si>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</si>
  <si>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</si>
  <si>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</si>
  <si>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</si>
  <si>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</si>
  <si>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</si>
  <si>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</si>
  <si>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</si>
  <si>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</si>
  <si>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</si>
  <si>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</si>
  <si>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</si>
  <si>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</si>
  <si>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</si>
  <si>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</si>
  <si>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</si>
  <si>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</si>
  <si>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</si>
  <si>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</si>
  <si>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</si>
  <si>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</si>
  <si>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</si>
  <si>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</si>
  <si>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</si>
  <si>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</si>
  <si>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</si>
  <si>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</si>
  <si>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</si>
  <si>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</si>
  <si>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</si>
  <si>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</si>
  <si>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</si>
  <si>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</si>
  <si>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</si>
  <si>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</si>
  <si>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</si>
  <si>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</si>
  <si>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</si>
  <si>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</si>
  <si>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</si>
  <si>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</si>
  <si>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</si>
  <si>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</si>
  <si>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</si>
  <si>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</si>
  <si>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</si>
  <si>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</si>
  <si>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</si>
  <si>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</si>
  <si>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</si>
  <si>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</si>
  <si>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</si>
  <si>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</si>
  <si>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</si>
  <si>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</si>
  <si>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</si>
  <si>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</si>
  <si>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</si>
  <si>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</si>
  <si>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</si>
  <si>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</si>
  <si>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</si>
  <si>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</si>
  <si>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</si>
  <si>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</si>
  <si>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</si>
  <si>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</si>
  <si>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</si>
  <si>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</si>
  <si>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</si>
  <si>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</si>
  <si>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</si>
  <si>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</si>
  <si>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</si>
  <si>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</si>
  <si>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</si>
  <si>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</si>
  <si>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</si>
  <si>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</si>
  <si>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</si>
  <si>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</si>
  <si>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</si>
  <si>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</si>
  <si>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</si>
  <si>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</si>
  <si>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</si>
  <si>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</si>
  <si>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</si>
  <si>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</si>
  <si>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</si>
  <si>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</si>
  <si>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</si>
  <si>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</si>
  <si>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</si>
  <si>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</si>
  <si>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</si>
  <si>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</si>
  <si>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</si>
  <si>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</si>
  <si>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</si>
  <si>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</si>
  <si>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</si>
  <si>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</si>
  <si>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</si>
  <si>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</si>
  <si>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</si>
  <si>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</si>
  <si>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</si>
  <si>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</si>
  <si>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</si>
  <si>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</si>
  <si>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</si>
  <si>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</si>
  <si>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</si>
  <si>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</si>
  <si>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</si>
  <si>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</si>
  <si>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</si>
  <si>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</si>
  <si>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</si>
  <si>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</si>
  <si>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</si>
  <si>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</si>
  <si>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</si>
  <si>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</si>
  <si>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</si>
  <si>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</si>
  <si>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</si>
  <si>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</si>
  <si>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</si>
  <si>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</si>
  <si>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</si>
  <si>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</si>
  <si>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</si>
  <si>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</si>
  <si>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</si>
  <si>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</si>
  <si>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</si>
  <si>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</si>
  <si>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</si>
  <si>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</si>
  <si>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</si>
  <si>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</si>
  <si>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</si>
  <si>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</si>
  <si>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</si>
  <si>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</si>
  <si>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</si>
  <si>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</si>
  <si>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</si>
  <si>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</si>
  <si>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</si>
  <si>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</si>
  <si>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</si>
  <si>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</si>
  <si>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</si>
  <si>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</si>
  <si>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</si>
  <si>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</si>
  <si>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</si>
  <si>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</si>
  <si>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</si>
  <si>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</si>
  <si>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</si>
  <si>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</si>
  <si>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</si>
  <si>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</si>
  <si>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</si>
  <si>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</si>
  <si>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</si>
  <si>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</si>
  <si>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</si>
  <si>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</si>
  <si>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</si>
  <si>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</si>
  <si>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</si>
  <si>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</si>
  <si>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</si>
  <si>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</si>
  <si>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</si>
  <si>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</si>
  <si>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</si>
  <si>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</si>
  <si>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</si>
  <si>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</si>
  <si>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</si>
  <si>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</si>
  <si>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</si>
  <si>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</si>
  <si>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</si>
  <si>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</si>
  <si>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</si>
  <si>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</si>
  <si>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</si>
  <si>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</si>
  <si>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</si>
  <si>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</si>
  <si>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</si>
  <si>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</si>
  <si>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</si>
  <si>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</si>
  <si>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</si>
  <si>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</si>
  <si>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</si>
  <si>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</si>
  <si>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</si>
  <si>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</si>
  <si>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</si>
  <si>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</si>
  <si>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</si>
  <si>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</si>
  <si>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</si>
  <si>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</si>
  <si>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</si>
  <si>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</si>
  <si>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</si>
  <si>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</si>
  <si>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</si>
  <si>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</si>
  <si>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</si>
  <si>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</si>
  <si>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</si>
  <si>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</si>
  <si>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</si>
  <si>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</si>
  <si>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</si>
  <si>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</si>
  <si>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</si>
  <si>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</si>
  <si>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</si>
  <si>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</si>
  <si>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</si>
  <si>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</si>
  <si>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</si>
  <si>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</si>
  <si>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</si>
  <si>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</si>
  <si>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</si>
  <si>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</si>
  <si>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</si>
  <si>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</si>
  <si>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</si>
  <si>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</si>
  <si>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</si>
  <si>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</si>
  <si>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</si>
  <si>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</si>
  <si>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</si>
  <si>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</si>
  <si>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</si>
  <si>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</si>
  <si>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</si>
  <si>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</si>
  <si>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</si>
  <si>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</si>
  <si>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</si>
  <si>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</si>
  <si>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</si>
  <si>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</si>
  <si>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</si>
  <si>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</si>
  <si>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</si>
  <si>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</si>
  <si>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</si>
  <si>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</si>
  <si>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</si>
  <si>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</si>
  <si>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</si>
  <si>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</si>
  <si>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</si>
  <si>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</si>
  <si>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</si>
  <si>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</si>
  <si>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</si>
  <si>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</si>
  <si>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</si>
  <si>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</si>
  <si>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</si>
  <si>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</si>
  <si>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</si>
  <si>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</si>
  <si>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</si>
  <si>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</si>
  <si>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</si>
  <si>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</si>
  <si>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</si>
  <si>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</si>
  <si>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</si>
  <si>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</si>
  <si>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</si>
  <si>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</si>
  <si>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</si>
  <si>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</si>
  <si>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</si>
  <si>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</si>
  <si>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</si>
  <si>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</si>
  <si>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</si>
  <si>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</si>
  <si>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</si>
  <si>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</si>
  <si>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</si>
  <si>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</si>
  <si>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</si>
  <si>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</si>
  <si>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</si>
  <si>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</si>
  <si>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</si>
  <si>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</si>
  <si>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</si>
  <si>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</si>
  <si>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</si>
  <si>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</si>
  <si>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</si>
  <si>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</si>
  <si>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</si>
  <si>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</si>
  <si>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</si>
  <si>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</si>
  <si>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</si>
  <si>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</si>
  <si>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</si>
  <si>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</si>
  <si>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</si>
  <si>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</si>
  <si>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</si>
  <si>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</si>
  <si>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</si>
  <si>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</si>
  <si>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</si>
  <si>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</si>
  <si>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</si>
  <si>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</si>
  <si>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</si>
  <si>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</si>
  <si>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</si>
  <si>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</si>
  <si>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</si>
  <si>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</si>
  <si>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</si>
  <si>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</si>
  <si>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</si>
  <si>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</si>
  <si>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</si>
  <si>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</si>
  <si>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</si>
  <si>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</si>
  <si>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</si>
  <si>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</si>
  <si>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</si>
  <si>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</si>
  <si>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</si>
  <si>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</si>
  <si>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</si>
  <si>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</si>
  <si>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</si>
  <si>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</si>
  <si>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</si>
  <si>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</si>
  <si>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</si>
  <si>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</si>
  <si>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</si>
  <si>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</si>
  <si>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</si>
  <si>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</si>
  <si>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</si>
  <si>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</si>
  <si>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</si>
  <si>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</si>
  <si>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</si>
  <si>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</si>
  <si>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</si>
  <si>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</si>
  <si>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</si>
  <si>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</si>
  <si>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</si>
  <si>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</si>
  <si>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</si>
  <si>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</si>
  <si>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</si>
  <si>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</si>
  <si>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</si>
  <si>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</si>
  <si>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</si>
  <si>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</si>
  <si>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</si>
  <si>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</si>
  <si>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</si>
  <si>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</si>
  <si>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</si>
  <si>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</si>
  <si>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</si>
  <si>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</si>
  <si>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</si>
  <si>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</si>
  <si>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</si>
  <si>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</si>
  <si>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</si>
  <si>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</si>
  <si>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</si>
  <si>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</si>
  <si>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</si>
  <si>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</si>
  <si>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</si>
  <si>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</si>
  <si>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</si>
  <si>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</si>
  <si>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</si>
  <si>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</si>
  <si>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</si>
  <si>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</si>
  <si>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</si>
  <si>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</si>
  <si>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</si>
  <si>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</si>
  <si>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</si>
  <si>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</si>
  <si>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</si>
  <si>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</si>
  <si>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</si>
  <si>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</si>
  <si>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</si>
  <si>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</si>
  <si>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</si>
  <si>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</si>
  <si>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</si>
  <si>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</si>
  <si>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</si>
  <si>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</si>
  <si>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</si>
  <si>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</si>
  <si>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</si>
  <si>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</si>
  <si>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</si>
  <si>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</si>
  <si>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</si>
  <si>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</si>
  <si>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</si>
  <si>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</si>
  <si>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</si>
  <si>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</si>
  <si>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</si>
  <si>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</si>
  <si>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</si>
  <si>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</si>
  <si>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</si>
  <si>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</si>
  <si>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</si>
  <si>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</si>
  <si>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</si>
  <si>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</si>
  <si>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</si>
  <si>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</si>
  <si>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</si>
  <si>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</si>
  <si>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</si>
  <si>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</si>
  <si>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</si>
  <si>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</si>
  <si>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</si>
  <si>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</si>
  <si>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</si>
  <si>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</si>
  <si>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</si>
  <si>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</si>
  <si>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</si>
  <si>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</si>
  <si>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</si>
  <si>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</si>
  <si>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</si>
  <si>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</si>
  <si>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</si>
  <si>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</si>
  <si>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</si>
  <si>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</si>
  <si>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</si>
  <si>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</si>
  <si>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</si>
  <si>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</si>
  <si>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</si>
  <si>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</si>
  <si>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</si>
  <si>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</si>
  <si>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</si>
  <si>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</si>
  <si>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</si>
  <si>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</si>
  <si>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</si>
  <si>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</si>
  <si>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</si>
  <si>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</si>
  <si>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</si>
  <si>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</si>
  <si>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</si>
  <si>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</si>
  <si>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</si>
  <si>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</si>
  <si>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</si>
  <si>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</si>
  <si>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</si>
  <si>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</si>
  <si>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</si>
  <si>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</si>
  <si>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</si>
  <si>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</si>
  <si>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</si>
  <si>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</si>
  <si>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</si>
  <si>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</si>
  <si>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</si>
  <si>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</si>
  <si>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</si>
  <si>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</si>
  <si>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</si>
  <si>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</si>
  <si>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</si>
  <si>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</si>
  <si>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</si>
  <si>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</si>
  <si>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</si>
  <si>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</si>
  <si>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</si>
  <si>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</si>
  <si>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</si>
  <si>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</si>
  <si>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</si>
  <si>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</si>
  <si>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</si>
  <si>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</si>
  <si>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</si>
  <si>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</si>
  <si>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</si>
  <si>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</si>
  <si>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</si>
  <si>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</si>
  <si>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</si>
  <si>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</si>
  <si>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</si>
  <si>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</si>
  <si>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</si>
  <si>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</si>
  <si>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</si>
  <si>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</si>
  <si>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</si>
  <si>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</si>
  <si>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</si>
  <si>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</si>
  <si>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</si>
  <si>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</si>
  <si>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</si>
  <si>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</si>
  <si>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</si>
  <si>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</si>
  <si>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</si>
  <si>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</si>
  <si>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</si>
  <si>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</si>
  <si>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</si>
  <si>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</si>
  <si>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</si>
  <si>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</si>
  <si>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</si>
  <si>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</si>
  <si>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</si>
  <si>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</si>
  <si>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</si>
  <si>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</si>
  <si>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</si>
  <si>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</si>
  <si>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</si>
  <si>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</si>
  <si>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</si>
  <si>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</si>
  <si>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</si>
  <si>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</si>
  <si>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</si>
  <si>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</si>
  <si>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</si>
  <si>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</si>
  <si>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</si>
  <si>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</si>
  <si>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</si>
  <si>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</si>
  <si>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</si>
  <si>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</si>
  <si>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</si>
  <si>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</si>
  <si>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</si>
  <si>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</si>
  <si>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</si>
  <si>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</si>
  <si>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</si>
  <si>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</si>
  <si>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</si>
  <si>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</si>
  <si>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</si>
  <si>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</si>
  <si>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</si>
  <si>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</si>
  <si>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</si>
  <si>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</si>
  <si>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</si>
  <si>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</si>
  <si>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</si>
  <si>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</si>
  <si>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</si>
  <si>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</si>
  <si>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</si>
  <si>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</si>
  <si>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</si>
  <si>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</si>
  <si>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</si>
  <si>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</si>
  <si>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</si>
  <si>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</si>
  <si>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</si>
  <si>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</si>
  <si>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</si>
  <si>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</si>
  <si>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</si>
  <si>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</si>
  <si>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</si>
  <si>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</si>
  <si>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</si>
  <si>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</si>
  <si>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</si>
  <si>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</si>
  <si>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</si>
  <si>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</si>
  <si>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</si>
  <si>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</si>
  <si>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</si>
  <si>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</si>
  <si>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</si>
  <si>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</si>
  <si>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</si>
  <si>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</si>
  <si>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</si>
  <si>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</si>
  <si>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</si>
  <si>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</si>
  <si>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</si>
  <si>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</si>
  <si>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</si>
  <si>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</si>
  <si>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</si>
  <si>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</si>
  <si>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</si>
  <si>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</si>
  <si>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</si>
  <si>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</si>
  <si>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</si>
  <si>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</si>
  <si>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</si>
  <si>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</si>
  <si>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</si>
  <si>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</si>
  <si>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</si>
  <si>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</si>
  <si>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</si>
  <si>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</si>
  <si>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</si>
  <si>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</si>
  <si>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</si>
  <si>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</si>
  <si>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</si>
  <si>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</si>
  <si>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</si>
  <si>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</si>
  <si>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</si>
  <si>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</si>
  <si>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</si>
  <si>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</si>
  <si>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</si>
  <si>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</si>
  <si>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</si>
  <si>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</si>
  <si>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</si>
  <si>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</si>
  <si>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</si>
  <si>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</si>
  <si>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</si>
  <si>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</si>
  <si>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</si>
  <si>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</si>
  <si>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</si>
  <si>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</si>
  <si>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</si>
  <si>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</si>
  <si>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</si>
  <si>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</si>
  <si>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</si>
  <si>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</si>
  <si>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</si>
  <si>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</si>
  <si>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</si>
  <si>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</si>
  <si>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</si>
  <si>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</si>
  <si>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</si>
  <si>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</si>
  <si>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</si>
  <si>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</si>
  <si>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</si>
  <si>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</si>
  <si>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</si>
  <si>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</si>
  <si>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</si>
  <si>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</si>
  <si>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</si>
  <si>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</si>
  <si>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</si>
  <si>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</si>
  <si>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</si>
  <si>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</si>
  <si>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</si>
  <si>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</si>
  <si>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</si>
  <si>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</si>
  <si>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</si>
  <si>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</si>
  <si>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</si>
  <si>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</si>
  <si>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</si>
  <si>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</si>
  <si>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</si>
  <si>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</si>
  <si>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</si>
  <si>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</si>
  <si>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</si>
  <si>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</si>
  <si>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</si>
  <si>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</si>
  <si>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</si>
  <si>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</si>
  <si>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</si>
  <si>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</si>
  <si>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</si>
  <si>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</si>
  <si>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</si>
  <si>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</si>
  <si>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</si>
  <si>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</si>
  <si>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</si>
  <si>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</si>
  <si>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</si>
  <si>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</si>
  <si>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</si>
  <si>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</si>
  <si>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</si>
  <si>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</si>
  <si>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</si>
  <si>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</si>
  <si>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</si>
  <si>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</si>
  <si>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</si>
  <si>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</si>
  <si>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</si>
  <si>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</si>
  <si>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</si>
  <si>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</si>
  <si>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</si>
  <si>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</si>
  <si>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</si>
  <si>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</si>
  <si>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</si>
  <si>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</si>
  <si>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</si>
  <si>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</si>
  <si>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</si>
  <si>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</si>
  <si>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</si>
  <si>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</si>
  <si>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</si>
  <si>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</si>
  <si>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</si>
  <si>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</si>
  <si>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</si>
  <si>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</si>
  <si>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</si>
  <si>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</si>
  <si>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</si>
  <si>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</si>
  <si>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</si>
  <si>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</si>
  <si>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</si>
  <si>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</si>
  <si>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</si>
  <si>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</si>
  <si>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</si>
  <si>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</si>
  <si>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</si>
  <si>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</si>
  <si>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</si>
  <si>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</si>
  <si>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</si>
  <si>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</si>
  <si>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</si>
  <si>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</si>
  <si>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</si>
  <si>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</si>
  <si>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</si>
  <si>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</si>
  <si>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</si>
  <si>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</si>
  <si>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</si>
  <si>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</si>
  <si>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</si>
  <si>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</si>
  <si>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</si>
  <si>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</si>
  <si>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</si>
  <si>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</si>
  <si>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</si>
  <si>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</si>
  <si>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</si>
  <si>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</si>
  <si>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</si>
  <si>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</si>
  <si>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</si>
  <si>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</si>
  <si>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</si>
  <si>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</si>
  <si>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</si>
  <si>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</si>
  <si>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</si>
  <si>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</si>
  <si>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</si>
  <si>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</si>
  <si>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</si>
  <si>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</si>
  <si>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</si>
  <si>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</si>
  <si>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</si>
  <si>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</si>
  <si>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</si>
  <si>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</si>
  <si>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</si>
  <si>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</si>
  <si>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</si>
  <si>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</si>
  <si>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</si>
  <si>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</si>
  <si>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</si>
  <si>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</si>
  <si>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</si>
  <si>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</si>
  <si>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</si>
  <si>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</si>
  <si>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</si>
  <si>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</si>
  <si>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</si>
  <si>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</si>
  <si>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</si>
  <si>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</si>
  <si>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</si>
  <si>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</si>
  <si>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</si>
  <si>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</si>
  <si>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</si>
  <si>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</si>
  <si>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</si>
  <si>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</si>
  <si>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</si>
  <si>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</si>
  <si>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</si>
  <si>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</si>
  <si>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</si>
  <si>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</si>
  <si>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</si>
  <si>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</si>
  <si>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</si>
  <si>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</si>
  <si>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</si>
  <si>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</si>
  <si>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</si>
  <si>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</si>
  <si>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</si>
  <si>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</si>
  <si>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</si>
  <si>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</si>
  <si>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</si>
  <si>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</si>
  <si>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</si>
  <si>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</si>
  <si>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</si>
  <si>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</si>
  <si>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</si>
  <si>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</si>
  <si>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</si>
  <si>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</si>
  <si>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</si>
  <si>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</si>
  <si>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</si>
  <si>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</si>
  <si>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</si>
  <si>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</si>
  <si>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</si>
  <si>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</si>
  <si>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</si>
  <si>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</si>
  <si>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</si>
  <si>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</si>
  <si>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</si>
  <si>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</si>
  <si>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</si>
  <si>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</si>
  <si>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</si>
  <si>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</si>
  <si>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</si>
  <si>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</si>
  <si>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</si>
  <si>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</si>
  <si>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</si>
  <si>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</si>
  <si>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</si>
  <si>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</si>
  <si>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</si>
  <si>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</si>
  <si>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</si>
  <si>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</si>
  <si>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</si>
  <si>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</si>
  <si>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</si>
  <si>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</si>
  <si>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</si>
  <si>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</si>
  <si>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</si>
  <si>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</si>
  <si>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</si>
  <si>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</si>
  <si>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</si>
  <si>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</si>
  <si>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</si>
  <si>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</si>
  <si>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</si>
  <si>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</si>
  <si>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</si>
  <si>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</si>
  <si>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</si>
  <si>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</si>
  <si>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</si>
  <si>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</si>
  <si>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</si>
  <si>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</si>
  <si>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</si>
  <si>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</si>
  <si>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</si>
  <si>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</si>
  <si>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</si>
  <si>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</si>
  <si>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</si>
  <si>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</si>
  <si>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</si>
  <si>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</si>
  <si>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</si>
  <si>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</si>
  <si>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</si>
  <si>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</si>
  <si>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</si>
  <si>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</si>
  <si>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</si>
  <si>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</si>
  <si>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</si>
  <si>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</si>
  <si>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</si>
  <si>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</si>
  <si>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</si>
  <si>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</si>
  <si>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</si>
  <si>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</si>
  <si>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</si>
  <si>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</si>
  <si>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</si>
  <si>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</si>
  <si>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</si>
  <si>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</si>
  <si>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</si>
  <si>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</si>
  <si>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</si>
  <si>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</si>
  <si>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</si>
  <si>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</si>
  <si>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</si>
  <si>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</si>
  <si>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</si>
  <si>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</si>
  <si>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</si>
  <si>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</si>
  <si>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</si>
  <si>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</si>
  <si>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</si>
  <si>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</si>
  <si>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</si>
  <si>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</si>
  <si>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</si>
  <si>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</si>
  <si>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</si>
  <si>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</si>
  <si>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</si>
  <si>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</si>
  <si>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</si>
  <si>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</si>
  <si>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</si>
  <si>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</si>
  <si>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</si>
  <si>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</si>
  <si>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</si>
  <si>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</si>
  <si>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</si>
  <si>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</si>
  <si>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</si>
  <si>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</si>
  <si>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</si>
  <si>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</si>
  <si>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</si>
  <si>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</si>
  <si>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</si>
  <si>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</si>
  <si>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</si>
  <si>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</si>
  <si>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</si>
  <si>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</si>
  <si>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</si>
  <si>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</si>
  <si>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</si>
  <si>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</si>
  <si>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</si>
  <si>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</si>
  <si>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</si>
  <si>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</si>
  <si>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</si>
  <si>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</si>
  <si>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</si>
  <si>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</si>
  <si>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</si>
  <si>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</si>
  <si>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</si>
  <si>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</si>
  <si>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</si>
  <si>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</si>
  <si>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</si>
  <si>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</si>
  <si>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</si>
  <si>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</si>
  <si>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</si>
  <si>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</si>
  <si>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</si>
  <si>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</si>
  <si>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</si>
  <si>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</si>
  <si>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</si>
  <si>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</si>
  <si>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</si>
  <si>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</si>
  <si>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</si>
  <si>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</si>
  <si>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</si>
  <si>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</si>
  <si>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</si>
  <si>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</si>
  <si>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</si>
  <si>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</si>
  <si>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</si>
  <si>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</si>
  <si>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</si>
  <si>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</si>
  <si>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</si>
  <si>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</si>
  <si>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</si>
  <si>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</si>
  <si>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</si>
  <si>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</si>
  <si>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</si>
  <si>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</si>
  <si>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</si>
  <si>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</si>
  <si>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</si>
  <si>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</si>
  <si>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</si>
  <si>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</si>
  <si>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</si>
  <si>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</si>
  <si>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</si>
  <si>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</si>
  <si>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</si>
  <si>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</si>
  <si>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</si>
  <si>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</si>
  <si>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</si>
  <si>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</si>
  <si>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</si>
  <si>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</si>
  <si>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</si>
  <si>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</si>
  <si>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</si>
  <si>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</si>
  <si>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</si>
  <si>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</si>
  <si>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</si>
  <si>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</si>
  <si>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</si>
  <si>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</si>
  <si>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</si>
  <si>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</si>
  <si>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</si>
  <si>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</si>
  <si>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</si>
  <si>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</si>
  <si>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</si>
  <si>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</si>
  <si>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</si>
  <si>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</si>
  <si>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</si>
  <si>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</si>
  <si>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</si>
  <si>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</si>
  <si>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</si>
  <si>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</si>
  <si>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</si>
  <si>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</si>
  <si>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</si>
  <si>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</si>
  <si>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</si>
  <si>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</si>
  <si>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</si>
  <si>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</si>
  <si>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</si>
  <si>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</si>
  <si>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</si>
  <si>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</si>
  <si>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</si>
  <si>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</si>
  <si>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</si>
  <si>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</si>
  <si>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</si>
  <si>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</si>
  <si>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</si>
  <si>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</si>
  <si>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</si>
  <si>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</si>
  <si>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</si>
  <si>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</si>
  <si>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</si>
  <si>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</si>
  <si>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</si>
  <si>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</si>
  <si>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</si>
  <si>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</si>
  <si>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</si>
  <si>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</si>
  <si>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</si>
  <si>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</si>
  <si>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</si>
  <si>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</si>
  <si>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</si>
  <si>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</si>
  <si>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</si>
  <si>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</si>
  <si>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</si>
  <si>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</si>
  <si>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</si>
  <si>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</si>
  <si>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</si>
  <si>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</si>
  <si>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</si>
  <si>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</si>
  <si>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</si>
  <si>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</si>
  <si>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</si>
  <si>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</si>
  <si>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</si>
  <si>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</si>
  <si>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</si>
  <si>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</si>
  <si>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</si>
  <si>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</si>
  <si>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</si>
  <si>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</si>
  <si>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</si>
  <si>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</si>
  <si>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</si>
  <si>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</si>
  <si>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</si>
  <si>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</si>
  <si>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</si>
  <si>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</si>
  <si>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</si>
  <si>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</si>
  <si>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</si>
  <si>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</si>
  <si>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</si>
  <si>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</si>
  <si>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</si>
  <si>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</si>
  <si>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</si>
  <si>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</si>
  <si>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</si>
  <si>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</si>
  <si>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</si>
  <si>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</si>
  <si>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</si>
  <si>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</si>
  <si>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</si>
  <si>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</si>
  <si>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</si>
  <si>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</si>
  <si>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</si>
  <si>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</si>
  <si>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</si>
  <si>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</si>
  <si>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</si>
  <si>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</si>
  <si>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</si>
  <si>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</si>
  <si>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</si>
  <si>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</si>
  <si>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</si>
  <si>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</si>
  <si>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</si>
  <si>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</si>
  <si>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</si>
  <si>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</si>
  <si>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</si>
  <si>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</si>
  <si>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</si>
  <si>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</si>
  <si>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</si>
  <si>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</si>
  <si>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</si>
  <si>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</si>
  <si>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</si>
  <si>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</si>
  <si>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</si>
  <si>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</si>
  <si>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</si>
  <si>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</si>
  <si>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</si>
  <si>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</si>
  <si>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</si>
  <si>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</si>
  <si>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</si>
  <si>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</si>
  <si>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</si>
  <si>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</si>
  <si>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</si>
  <si>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</si>
  <si>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</si>
  <si>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</si>
  <si>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</si>
  <si>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</si>
  <si>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</si>
  <si>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</si>
  <si>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</si>
  <si>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</si>
  <si>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</si>
  <si>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</si>
  <si>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</si>
  <si>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</si>
  <si>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</si>
  <si>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</si>
  <si>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</si>
  <si>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</si>
  <si>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</si>
  <si>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</si>
  <si>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</si>
  <si>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</si>
  <si>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</si>
  <si>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</si>
  <si>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</si>
  <si>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</si>
  <si>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</si>
  <si>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</si>
  <si>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</si>
  <si>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</si>
  <si>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</si>
  <si>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</si>
  <si>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</si>
  <si>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</si>
  <si>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</si>
  <si>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</si>
  <si>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</si>
  <si>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</si>
  <si>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</si>
  <si>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</si>
  <si>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</si>
  <si>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</si>
  <si>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</si>
  <si>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</si>
  <si>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</si>
  <si>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</si>
  <si>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</si>
  <si>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</si>
  <si>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</si>
  <si>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</si>
  <si>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</si>
  <si>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</si>
  <si>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</si>
  <si>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</si>
  <si>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</si>
  <si>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</si>
  <si>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</si>
  <si>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</si>
  <si>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</si>
  <si>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</si>
  <si>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</si>
  <si>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</si>
  <si>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</si>
  <si>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</si>
  <si>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</si>
  <si>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</si>
  <si>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</si>
  <si>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</si>
  <si>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</si>
  <si>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</si>
  <si>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</si>
  <si>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</si>
  <si>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</si>
  <si>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</si>
  <si>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</si>
  <si>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</si>
  <si>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</si>
  <si>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</si>
  <si>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</si>
  <si>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</si>
  <si>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</si>
  <si>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</si>
  <si>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</si>
  <si>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</si>
  <si>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</si>
  <si>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</si>
  <si>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</si>
  <si>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</si>
  <si>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</si>
  <si>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</si>
  <si>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</si>
  <si>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</si>
  <si>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</si>
  <si>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</si>
  <si>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</si>
  <si>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</si>
  <si>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</si>
  <si>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</si>
  <si>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</si>
  <si>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</si>
  <si>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</si>
  <si>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</si>
  <si>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</si>
  <si>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</si>
  <si>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</si>
  <si>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</si>
  <si>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</si>
  <si>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</si>
  <si>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</si>
  <si>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</si>
  <si>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</si>
  <si>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</si>
  <si>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</si>
  <si>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</si>
  <si>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</si>
  <si>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</si>
  <si>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</si>
  <si>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</si>
  <si>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</si>
  <si>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</si>
  <si>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</si>
  <si>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</si>
  <si>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</si>
  <si>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</si>
  <si>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</si>
  <si>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</si>
  <si>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</si>
  <si>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</si>
  <si>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</si>
  <si>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</si>
  <si>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</si>
  <si>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</si>
  <si>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</si>
  <si>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</si>
  <si>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</si>
  <si>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</si>
  <si>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</si>
  <si>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</si>
  <si>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</si>
  <si>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</si>
  <si>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</si>
  <si>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</si>
  <si>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</si>
  <si>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</si>
  <si>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</si>
  <si>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</si>
  <si>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</si>
  <si>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</si>
  <si>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</si>
  <si>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</si>
  <si>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</si>
  <si>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</si>
  <si>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</si>
  <si>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</si>
  <si>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</si>
  <si>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</si>
  <si>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</si>
  <si>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</si>
  <si>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</si>
  <si>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</si>
  <si>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</si>
  <si>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</si>
  <si>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</si>
  <si>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</si>
  <si>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</si>
  <si>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</si>
  <si>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</si>
  <si>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</si>
  <si>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</si>
  <si>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</si>
  <si>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</si>
  <si>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</si>
  <si>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</si>
  <si>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</si>
  <si>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</si>
  <si>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</si>
  <si>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</si>
  <si>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</si>
  <si>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</si>
  <si>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</si>
  <si>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</si>
  <si>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</si>
  <si>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</si>
  <si>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</si>
  <si>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</si>
  <si>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</si>
  <si>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</si>
  <si>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</si>
  <si>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</si>
  <si>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</si>
  <si>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</si>
  <si>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</si>
  <si>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</si>
  <si>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</si>
  <si>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</si>
  <si>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</si>
  <si>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</si>
  <si>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</si>
  <si>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</si>
  <si>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</si>
  <si>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</si>
  <si>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</si>
  <si>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</si>
  <si>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</si>
  <si>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</si>
  <si>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</si>
  <si>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</si>
  <si>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</si>
  <si>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</si>
  <si>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</si>
  <si>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</si>
  <si>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</si>
  <si>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</si>
  <si>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</si>
  <si>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</si>
  <si>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</si>
  <si>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</si>
  <si>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</si>
  <si>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</si>
  <si>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</si>
  <si>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</si>
  <si>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</si>
  <si>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</si>
  <si>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</si>
  <si>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</si>
  <si>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</si>
  <si>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</si>
  <si>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</si>
  <si>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</si>
  <si>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</si>
  <si>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</si>
  <si>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</si>
  <si>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</si>
  <si>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</si>
  <si>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</si>
  <si>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</si>
  <si>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</si>
  <si>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</si>
  <si>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</si>
  <si>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</si>
  <si>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</si>
  <si>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</si>
  <si>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</si>
  <si>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</si>
  <si>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</si>
  <si>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</si>
  <si>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</si>
  <si>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</si>
  <si>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</si>
  <si>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</si>
  <si>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</si>
  <si>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</si>
  <si>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</si>
  <si>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</si>
  <si>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</si>
  <si>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</si>
  <si>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</si>
  <si>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</si>
  <si>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</si>
  <si>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</si>
  <si>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</si>
  <si>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</si>
  <si>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</si>
  <si>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</si>
  <si>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</si>
  <si>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</si>
  <si>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</si>
  <si>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</si>
  <si>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</si>
  <si>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</si>
  <si>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</si>
  <si>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</si>
  <si>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</si>
  <si>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</si>
  <si>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</si>
  <si>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</si>
  <si>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</si>
  <si>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</si>
  <si>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</si>
  <si>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</si>
  <si>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</si>
  <si>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</si>
  <si>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</si>
  <si>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</si>
  <si>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</si>
  <si>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</si>
  <si>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</si>
  <si>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</si>
  <si>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</si>
  <si>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</si>
  <si>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</si>
  <si>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</si>
  <si>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</si>
  <si>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</si>
  <si>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</si>
  <si>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</si>
  <si>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</si>
  <si>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</si>
  <si>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</si>
  <si>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</si>
  <si>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</si>
  <si>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</si>
  <si>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</si>
  <si>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</si>
  <si>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</si>
  <si>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</si>
  <si>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</si>
  <si>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</si>
  <si>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</si>
  <si>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</si>
  <si>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</si>
  <si>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</si>
  <si>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</si>
  <si>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</si>
  <si>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</si>
  <si>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</si>
  <si>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</si>
  <si>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</si>
  <si>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</si>
  <si>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</si>
  <si>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</si>
  <si>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</si>
  <si>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</si>
  <si>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</si>
  <si>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</si>
  <si>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</si>
  <si>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</si>
  <si>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</si>
  <si>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</si>
  <si>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</si>
  <si>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</si>
  <si>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</si>
  <si>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</si>
  <si>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</si>
  <si>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</si>
  <si>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</si>
  <si>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</si>
  <si>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</si>
  <si>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</si>
  <si>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</si>
  <si>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</si>
  <si>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</si>
  <si>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</si>
  <si>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</si>
  <si>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</si>
  <si>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</si>
  <si>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</si>
  <si>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</si>
  <si>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</si>
  <si>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</si>
  <si>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</si>
  <si>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</si>
  <si>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</si>
  <si>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</si>
  <si>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</si>
  <si>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</si>
  <si>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</si>
  <si>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</si>
  <si>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</si>
  <si>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</si>
  <si>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</si>
  <si>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</si>
  <si>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</si>
  <si>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</si>
  <si>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</si>
  <si>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</si>
  <si>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</si>
  <si>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</si>
  <si>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</si>
  <si>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</si>
  <si>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</si>
  <si>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</si>
  <si>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</si>
  <si>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</si>
  <si>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</si>
  <si>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</si>
  <si>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</si>
  <si>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</si>
  <si>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</si>
  <si>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</si>
  <si>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</si>
  <si>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</si>
  <si>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</si>
  <si>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</si>
  <si>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</si>
  <si>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</si>
  <si>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</si>
  <si>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</si>
  <si>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</si>
  <si>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</si>
  <si>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</si>
  <si>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</si>
  <si>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</si>
  <si>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</si>
  <si>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</si>
  <si>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</si>
  <si>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</si>
  <si>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</si>
  <si>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</si>
  <si>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</si>
  <si>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</si>
  <si>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</si>
  <si>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</si>
  <si>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</si>
  <si>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</si>
  <si>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</si>
  <si>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</si>
  <si>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</si>
  <si>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</si>
  <si>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</si>
  <si>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</si>
  <si>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</si>
  <si>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</si>
  <si>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</si>
  <si>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</si>
  <si>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</si>
  <si>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</si>
  <si>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</si>
  <si>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</si>
  <si>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</si>
  <si>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</si>
  <si>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</si>
  <si>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</si>
  <si>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</si>
  <si>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</si>
  <si>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</si>
  <si>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</si>
  <si>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</si>
  <si>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</si>
  <si>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</si>
  <si>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</si>
  <si>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</si>
  <si>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</si>
  <si>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</si>
  <si>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</si>
  <si>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</si>
  <si>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</si>
  <si>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</si>
  <si>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</si>
  <si>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</si>
  <si>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</si>
  <si>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</si>
  <si>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</si>
  <si>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</si>
  <si>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</si>
  <si>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</si>
  <si>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</si>
  <si>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</si>
  <si>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</si>
  <si>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</si>
  <si>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</si>
  <si>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</si>
  <si>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</si>
  <si>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</si>
  <si>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</si>
  <si>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</si>
  <si>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</si>
  <si>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</si>
  <si>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</si>
  <si>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</si>
  <si>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</si>
  <si>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</si>
  <si>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</si>
  <si>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</si>
  <si>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</si>
  <si>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</si>
  <si>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</si>
  <si>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</si>
  <si>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</si>
  <si>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</si>
  <si>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</si>
  <si>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</si>
  <si>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</si>
  <si>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</si>
  <si>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</si>
  <si>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</si>
  <si>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</si>
  <si>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</si>
  <si>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</si>
  <si>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</si>
  <si>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</si>
  <si>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</si>
  <si>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</si>
  <si>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</si>
  <si>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</si>
  <si>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</si>
  <si>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</si>
  <si>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</si>
  <si>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</si>
  <si>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</si>
  <si>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</si>
  <si>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</si>
  <si>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</si>
  <si>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</si>
  <si>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</si>
  <si>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</si>
  <si>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</si>
  <si>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</si>
  <si>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</si>
  <si>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</si>
  <si>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</si>
  <si>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</si>
  <si>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</si>
  <si>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</si>
  <si>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</si>
  <si>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</si>
  <si>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</si>
  <si>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</si>
  <si>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</si>
  <si>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</si>
  <si>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</si>
  <si>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</si>
  <si>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</si>
  <si>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</si>
  <si>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</si>
  <si>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</si>
  <si>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</si>
  <si>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</si>
  <si>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</si>
  <si>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</si>
  <si>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</si>
  <si>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</si>
  <si>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</si>
  <si>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</si>
  <si>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</si>
  <si>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</si>
  <si>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</si>
  <si>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</si>
  <si>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</si>
  <si>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</si>
  <si>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</si>
  <si>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</si>
  <si>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</si>
  <si>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</si>
  <si>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</si>
  <si>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</si>
  <si>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</si>
  <si>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</si>
  <si>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</si>
  <si>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</si>
  <si>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</si>
  <si>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</si>
  <si>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</si>
  <si>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</si>
  <si>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</si>
  <si>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</si>
  <si>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</si>
  <si>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</si>
  <si>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</si>
  <si>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</si>
  <si>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</si>
  <si>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</si>
  <si>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</si>
  <si>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</si>
  <si>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</si>
  <si>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</si>
  <si>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</si>
  <si>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</si>
  <si>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</si>
  <si>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</si>
  <si>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</si>
  <si>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</si>
  <si>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</si>
  <si>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</si>
  <si>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</si>
  <si>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</si>
  <si>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</si>
  <si>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</si>
  <si>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</si>
  <si>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</si>
  <si>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</si>
  <si>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</si>
  <si>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</si>
  <si>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</si>
  <si>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</si>
  <si>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</si>
  <si>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</si>
  <si>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</si>
  <si>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</si>
  <si>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</si>
  <si>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</si>
  <si>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</si>
  <si>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</si>
  <si>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</si>
  <si>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</si>
  <si>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</si>
  <si>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</si>
  <si>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</si>
  <si>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</si>
  <si>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</si>
  <si>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</si>
  <si>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</si>
  <si>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</si>
  <si>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</si>
  <si>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</si>
  <si>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</si>
  <si>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</si>
  <si>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</si>
  <si>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</si>
  <si>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</si>
  <si>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</si>
  <si>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</si>
  <si>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</si>
  <si>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</si>
  <si>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</si>
  <si>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</si>
  <si>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</si>
  <si>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</si>
  <si>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</si>
  <si>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</si>
  <si>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</si>
  <si>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</si>
  <si>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</si>
  <si>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</si>
  <si>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</si>
  <si>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</si>
  <si>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</si>
  <si>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</si>
  <si>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</si>
  <si>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</si>
  <si>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</si>
  <si>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</si>
  <si>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</si>
  <si>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</si>
  <si>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</si>
  <si>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</si>
  <si>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</si>
  <si>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</si>
  <si>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</si>
  <si>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</si>
  <si>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</si>
  <si>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</si>
  <si>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</si>
  <si>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</si>
  <si>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</si>
  <si>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</si>
  <si>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</si>
  <si>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</si>
  <si>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</si>
  <si>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</si>
  <si>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</si>
  <si>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</si>
  <si>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</si>
  <si>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</si>
  <si>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</si>
  <si>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</si>
  <si>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</si>
  <si>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</si>
  <si>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</si>
  <si>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</si>
  <si>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</si>
  <si>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</si>
  <si>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</si>
  <si>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</si>
  <si>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</si>
  <si>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</si>
  <si>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</si>
  <si>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</si>
  <si>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</si>
  <si>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</si>
  <si>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</si>
  <si>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</si>
  <si>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</si>
  <si>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</si>
  <si>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</si>
  <si>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</si>
  <si>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</si>
  <si>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</si>
  <si>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</si>
  <si>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</si>
  <si>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</si>
  <si>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</si>
  <si>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</si>
  <si>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</si>
  <si>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</si>
  <si>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</si>
  <si>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</si>
  <si>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</si>
  <si>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</si>
  <si>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</si>
  <si>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</si>
  <si>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</si>
  <si>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</si>
  <si>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</si>
  <si>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</si>
  <si>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</si>
  <si>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</si>
  <si>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</si>
  <si>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</si>
  <si>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</si>
  <si>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</si>
  <si>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</si>
  <si>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</si>
  <si>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</si>
  <si>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</si>
  <si>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</si>
  <si>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</si>
  <si>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</si>
  <si>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</si>
  <si>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</si>
  <si>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</si>
  <si>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</si>
  <si>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</si>
  <si>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</si>
  <si>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</si>
  <si>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</si>
  <si>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</si>
  <si>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</si>
  <si>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</si>
  <si>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</si>
  <si>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</si>
  <si>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</si>
  <si>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</si>
  <si>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</si>
  <si>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</si>
  <si>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</si>
  <si>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</si>
  <si>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</si>
  <si>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</si>
  <si>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</si>
  <si>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</si>
  <si>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</si>
  <si>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</si>
  <si>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</si>
  <si>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</si>
  <si>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</si>
  <si>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</si>
  <si>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</si>
  <si>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</si>
  <si>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</si>
  <si>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</si>
  <si>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</si>
  <si>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</si>
  <si>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</si>
  <si>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</si>
  <si>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</si>
  <si>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</si>
  <si>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</si>
  <si>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</si>
  <si>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</si>
  <si>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</si>
  <si>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</si>
  <si>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</si>
  <si>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</si>
  <si>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</si>
  <si>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</si>
  <si>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</si>
  <si>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</si>
  <si>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</si>
  <si>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</si>
  <si>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</si>
  <si>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</si>
  <si>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</si>
  <si>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</si>
  <si>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</si>
  <si>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</si>
  <si>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</si>
  <si>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</si>
  <si>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</si>
  <si>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</si>
  <si>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</si>
  <si>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</si>
  <si>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</si>
  <si>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</si>
  <si>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</si>
  <si>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</si>
  <si>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</si>
  <si>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</si>
  <si>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</si>
  <si>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</si>
  <si>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</si>
  <si>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</si>
  <si>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</si>
  <si>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</si>
  <si>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</si>
  <si>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</si>
  <si>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</si>
  <si>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</si>
  <si>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</si>
  <si>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</si>
  <si>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</si>
  <si>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</si>
  <si>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</si>
  <si>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</si>
  <si>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</si>
  <si>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</si>
  <si>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</si>
  <si>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</si>
  <si>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</si>
  <si>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</si>
  <si>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</si>
  <si>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</si>
  <si>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</si>
  <si>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</si>
  <si>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</si>
  <si>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</si>
  <si>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</si>
  <si>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</si>
  <si>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</si>
  <si>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</si>
  <si>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</si>
  <si>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</si>
  <si>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</si>
  <si>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</si>
  <si>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</si>
  <si>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</si>
  <si>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</si>
  <si>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</si>
  <si>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</si>
  <si>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</si>
  <si>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</si>
  <si>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</si>
  <si>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</si>
  <si>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</si>
  <si>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</si>
  <si>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</si>
  <si>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</si>
  <si>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</si>
  <si>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</si>
  <si>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</si>
  <si>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</si>
  <si>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</si>
  <si>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</si>
  <si>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</si>
  <si>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</si>
  <si>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</si>
  <si>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</si>
  <si>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</si>
  <si>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</si>
  <si>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</si>
  <si>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</si>
  <si>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</si>
  <si>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</si>
  <si>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</si>
  <si>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</si>
  <si>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</si>
  <si>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</si>
  <si>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</si>
  <si>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</si>
  <si>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</si>
  <si>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</si>
  <si>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</si>
  <si>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</si>
  <si>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</si>
  <si>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</si>
  <si>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</si>
  <si>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</si>
  <si>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</si>
  <si>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</si>
  <si>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</si>
  <si>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</si>
  <si>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</si>
  <si>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</si>
  <si>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</si>
  <si>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</si>
  <si>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</si>
  <si>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</si>
  <si>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</si>
  <si>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</si>
  <si>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</si>
  <si>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</si>
  <si>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</si>
  <si>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</si>
  <si>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</si>
  <si>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</si>
  <si>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</si>
  <si>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</si>
  <si>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</si>
  <si>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</si>
  <si>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</si>
  <si>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</si>
  <si>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</si>
  <si>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</si>
  <si>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</si>
  <si>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</si>
  <si>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</si>
  <si>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</si>
  <si>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</si>
  <si>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</si>
  <si>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</si>
  <si>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</si>
  <si>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</si>
  <si>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</si>
  <si>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</si>
  <si>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</si>
  <si>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</si>
  <si>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</si>
  <si>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</si>
  <si>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</si>
  <si>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</si>
  <si>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</si>
  <si>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</si>
  <si>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</si>
  <si>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</si>
  <si>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</si>
  <si>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</si>
  <si>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</si>
  <si>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</si>
  <si>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</si>
  <si>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</si>
  <si>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</si>
  <si>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</si>
  <si>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</si>
  <si>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</si>
  <si>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</si>
  <si>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</si>
  <si>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</si>
  <si>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</si>
  <si>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</si>
  <si>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</si>
  <si>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</si>
  <si>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</si>
  <si>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</si>
  <si>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</si>
  <si>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</si>
  <si>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</si>
  <si>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</si>
  <si>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</si>
  <si>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</si>
  <si>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</si>
  <si>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</si>
  <si>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</si>
  <si>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</si>
  <si>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</si>
  <si>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</si>
  <si>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</si>
  <si>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</si>
  <si>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</si>
  <si>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</si>
  <si>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</si>
  <si>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</si>
  <si>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</si>
  <si>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</si>
  <si>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</si>
  <si>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</si>
  <si>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</si>
  <si>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</si>
  <si>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</si>
  <si>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</si>
  <si>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</si>
  <si>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</si>
  <si>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</si>
  <si>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</si>
  <si>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</si>
  <si>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</si>
  <si>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</si>
  <si>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</si>
  <si>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</si>
  <si>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</si>
  <si>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</si>
  <si>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</si>
  <si>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</si>
  <si>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</si>
  <si>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</si>
  <si>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</si>
  <si>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</si>
  <si>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</si>
  <si>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</si>
  <si>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</si>
  <si>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</si>
  <si>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</si>
  <si>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</si>
  <si>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</si>
  <si>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</si>
  <si>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</si>
  <si>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</si>
  <si>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</si>
  <si>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</si>
  <si>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</si>
  <si>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</si>
  <si>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</si>
  <si>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</si>
  <si>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</si>
  <si>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</si>
  <si>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</si>
  <si>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</si>
  <si>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</si>
  <si>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</si>
  <si>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</si>
  <si>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</si>
  <si>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</si>
  <si>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</si>
  <si>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</si>
  <si>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</si>
  <si>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</si>
  <si>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</si>
  <si>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</si>
  <si>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</si>
  <si>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</si>
  <si>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</si>
  <si>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</si>
  <si>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</si>
  <si>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</si>
  <si>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</si>
  <si>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</si>
  <si>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</si>
  <si>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</si>
  <si>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</si>
  <si>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</si>
  <si>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</si>
  <si>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</si>
  <si>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</si>
  <si>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</si>
  <si>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</si>
  <si>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</si>
  <si>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</si>
  <si>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</si>
  <si>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</si>
  <si>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</si>
  <si>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</si>
  <si>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</si>
  <si>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</si>
  <si>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</si>
  <si>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</si>
  <si>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</si>
  <si>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</si>
  <si>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</si>
  <si>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</si>
  <si>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</si>
  <si>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</si>
  <si>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</si>
  <si>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</si>
  <si>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</si>
  <si>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</si>
  <si>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</si>
  <si>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</si>
  <si>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</si>
  <si>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</si>
  <si>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</si>
  <si>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</si>
  <si>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</si>
  <si>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</si>
  <si>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</si>
  <si>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</si>
  <si>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</si>
  <si>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</si>
  <si>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</si>
  <si>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</si>
  <si>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</si>
  <si>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</si>
  <si>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</si>
  <si>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</si>
  <si>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</si>
  <si>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</si>
  <si>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</si>
  <si>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</si>
  <si>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</si>
  <si>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</si>
  <si>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</si>
  <si>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</si>
  <si>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</si>
  <si>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</si>
  <si>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</si>
  <si>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</si>
  <si>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</si>
  <si>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</si>
  <si>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</si>
  <si>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</si>
  <si>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</si>
  <si>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</si>
  <si>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</si>
  <si>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</si>
  <si>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</si>
  <si>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</si>
  <si>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</si>
  <si>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</si>
  <si>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</si>
  <si>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</si>
  <si>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</si>
  <si>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</si>
  <si>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</si>
  <si>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</si>
  <si>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</si>
  <si>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</si>
  <si>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</si>
  <si>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</si>
  <si>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</si>
  <si>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</si>
  <si>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</si>
  <si>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</si>
  <si>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</si>
  <si>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</si>
  <si>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</si>
  <si>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</si>
  <si>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</si>
  <si>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</si>
  <si>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</si>
  <si>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</si>
  <si>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</si>
  <si>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</si>
  <si>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</si>
  <si>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</si>
  <si>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</si>
  <si>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</si>
  <si>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</si>
  <si>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</si>
  <si>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</si>
  <si>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</si>
  <si>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</si>
  <si>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</si>
  <si>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</si>
  <si>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</si>
  <si>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</si>
  <si>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</si>
  <si>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</si>
  <si>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</si>
  <si>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</si>
  <si>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</si>
  <si>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</si>
  <si>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</si>
  <si>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</si>
  <si>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</si>
  <si>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</si>
  <si>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</si>
  <si>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</si>
  <si>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</si>
  <si>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</si>
  <si>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</si>
  <si>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</si>
  <si>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</si>
  <si>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</si>
  <si>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</si>
  <si>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</si>
  <si>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</si>
  <si>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</si>
  <si>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</si>
  <si>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</si>
  <si>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</si>
  <si>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</si>
  <si>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</si>
  <si>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</si>
  <si>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</si>
  <si>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</si>
  <si>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</si>
  <si>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</si>
  <si>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</si>
  <si>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</si>
  <si>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</si>
  <si>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</si>
  <si>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</si>
  <si>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</si>
  <si>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</si>
  <si>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</si>
  <si>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</si>
  <si>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</si>
  <si>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</si>
  <si>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</si>
  <si>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</si>
  <si>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</si>
  <si>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</si>
  <si>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</si>
  <si>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</si>
  <si>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</si>
  <si>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</si>
  <si>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</si>
  <si>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</si>
  <si>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</si>
  <si>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</si>
  <si>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</si>
  <si>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</si>
  <si>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</si>
  <si>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</si>
  <si>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</si>
  <si>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</si>
  <si>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</si>
  <si>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</si>
  <si>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</si>
  <si>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</si>
  <si>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</si>
  <si>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</si>
  <si>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</si>
  <si>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</si>
  <si>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</si>
  <si>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</si>
  <si>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</si>
  <si>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</si>
  <si>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</si>
  <si>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</si>
  <si>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</si>
  <si>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</si>
  <si>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</si>
  <si>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</si>
  <si>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</si>
  <si>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</si>
  <si>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</si>
  <si>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</si>
  <si>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</si>
  <si>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</si>
  <si>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</si>
  <si>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</si>
  <si>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</si>
  <si>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</si>
  <si>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</si>
  <si>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</si>
  <si>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</si>
  <si>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</si>
  <si>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</si>
  <si>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</si>
  <si>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</si>
  <si>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</si>
  <si>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</si>
  <si>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</si>
  <si>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</si>
  <si>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</si>
  <si>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</si>
  <si>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</si>
  <si>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</si>
  <si>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</si>
  <si>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</si>
  <si>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</si>
  <si>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</si>
  <si>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</si>
  <si>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</si>
  <si>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</si>
  <si>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</si>
  <si>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</si>
  <si>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</si>
  <si>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</si>
  <si>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</si>
  <si>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</si>
  <si>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</si>
  <si>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</si>
  <si>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</si>
  <si>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</si>
  <si>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</si>
  <si>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</si>
  <si>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</si>
  <si>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</si>
  <si>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</si>
  <si>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</si>
  <si>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</si>
  <si>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</si>
  <si>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</si>
  <si>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</si>
  <si>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</si>
  <si>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</si>
  <si>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</si>
  <si>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</si>
  <si>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</si>
  <si>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</si>
  <si>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</si>
  <si>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</si>
  <si>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</si>
  <si>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</si>
  <si>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</si>
  <si>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</si>
  <si>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</si>
  <si>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</si>
  <si>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</si>
  <si>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</si>
  <si>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</si>
  <si>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</si>
  <si>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</si>
  <si>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</si>
  <si>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</si>
  <si>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</si>
  <si>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</si>
  <si>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</si>
  <si>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</si>
  <si>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</si>
  <si>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</si>
  <si>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</si>
  <si>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</si>
  <si>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</si>
  <si>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</si>
  <si>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</si>
  <si>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</si>
  <si>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</si>
  <si>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</si>
  <si>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</si>
  <si>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</si>
  <si>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</si>
  <si>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</si>
  <si>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</si>
  <si>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</si>
  <si>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</si>
  <si>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</si>
  <si>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</si>
  <si>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</si>
  <si>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</si>
  <si>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</si>
  <si>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</si>
  <si>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</si>
  <si>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</si>
  <si>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</si>
  <si>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</si>
  <si>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</si>
  <si>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</si>
  <si>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</si>
  <si>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</si>
  <si>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</si>
  <si>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</si>
  <si>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</si>
  <si>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</si>
  <si>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</si>
  <si>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</si>
  <si>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</si>
  <si>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</si>
  <si>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</si>
  <si>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</si>
  <si>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</si>
  <si>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</si>
  <si>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</si>
  <si>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</si>
  <si>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</si>
  <si>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</si>
  <si>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</si>
  <si>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</si>
  <si>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</si>
  <si>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</si>
  <si>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</si>
  <si>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</si>
  <si>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</si>
  <si>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</si>
  <si>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</si>
  <si>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</si>
  <si>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</si>
  <si>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</si>
  <si>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</si>
  <si>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</si>
  <si>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</si>
  <si>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</si>
  <si>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</si>
  <si>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</si>
  <si>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</si>
  <si>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</si>
  <si>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</si>
  <si>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</si>
  <si>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</si>
  <si>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</si>
  <si>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</si>
  <si>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</si>
  <si>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</si>
  <si>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</si>
  <si>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</si>
  <si>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</si>
  <si>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</si>
  <si>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</si>
  <si>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</si>
  <si>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</si>
  <si>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</si>
  <si>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</si>
  <si>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</si>
  <si>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</si>
  <si>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</si>
  <si>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</si>
  <si>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</si>
  <si>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</si>
  <si>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</si>
  <si>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</si>
  <si>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</si>
  <si>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</si>
  <si>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</si>
  <si>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</si>
  <si>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</si>
  <si>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</si>
  <si>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</si>
  <si>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</si>
  <si>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</si>
  <si>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</si>
  <si>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</si>
  <si>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</si>
  <si>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</si>
  <si>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</si>
  <si>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</si>
  <si>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</si>
  <si>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</si>
  <si>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</si>
  <si>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</si>
  <si>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</si>
  <si>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</si>
  <si>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</si>
  <si>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</si>
  <si>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</si>
  <si>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</si>
  <si>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</si>
  <si>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</si>
  <si>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</si>
  <si>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</si>
  <si>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</si>
  <si>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</si>
  <si>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</si>
  <si>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</si>
  <si>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</si>
  <si>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</si>
  <si>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</si>
  <si>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</si>
  <si>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</si>
  <si>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</si>
  <si>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</si>
  <si>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</si>
  <si>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</si>
  <si>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</si>
  <si>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</si>
  <si>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</si>
  <si>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</si>
  <si>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</si>
  <si>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</si>
  <si>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</si>
  <si>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</si>
  <si>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</si>
  <si>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</si>
  <si>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</si>
  <si>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</si>
  <si>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</si>
  <si>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</si>
  <si>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</si>
  <si>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</si>
  <si>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</si>
  <si>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</si>
  <si>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</si>
  <si>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</si>
  <si>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</si>
  <si>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</si>
  <si>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</si>
  <si>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</si>
  <si>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</si>
  <si>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</si>
  <si>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</si>
  <si>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</si>
  <si>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</si>
  <si>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</si>
  <si>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</si>
  <si>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</si>
  <si>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</si>
  <si>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</si>
  <si>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</si>
  <si>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</si>
  <si>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</si>
  <si>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</si>
  <si>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</si>
  <si>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</si>
  <si>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</si>
  <si>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</si>
  <si>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</si>
  <si>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</si>
  <si>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</si>
  <si>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</si>
  <si>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</si>
  <si>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</si>
  <si>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</si>
  <si>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</si>
  <si>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</si>
  <si>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</si>
  <si>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</si>
  <si>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</si>
  <si>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</si>
  <si>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</si>
  <si>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</si>
  <si>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</si>
  <si>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</si>
  <si>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</si>
  <si>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</si>
  <si>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</si>
  <si>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</si>
  <si>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</si>
  <si>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</si>
  <si>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</si>
  <si>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</si>
  <si>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</si>
  <si>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</si>
  <si>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</si>
  <si>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</si>
  <si>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</si>
  <si>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</si>
  <si>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</si>
  <si>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</si>
  <si>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</si>
  <si>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</si>
  <si>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</si>
  <si>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</si>
  <si>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</si>
  <si>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</si>
  <si>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</si>
  <si>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</si>
  <si>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</si>
  <si>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</si>
  <si>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</si>
  <si>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</si>
  <si>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</si>
  <si>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</si>
  <si>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</si>
  <si>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</si>
  <si>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</si>
  <si>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</si>
  <si>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</si>
  <si>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</si>
  <si>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</si>
  <si>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</si>
  <si>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</si>
  <si>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</si>
  <si>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</si>
  <si>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</si>
  <si>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</si>
  <si>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</si>
  <si>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</si>
  <si>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</si>
  <si>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</si>
  <si>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</si>
  <si>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</si>
  <si>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</si>
  <si>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</si>
  <si>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</si>
  <si>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</si>
  <si>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</si>
  <si>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</si>
  <si>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</si>
  <si>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</si>
  <si>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</si>
  <si>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</si>
  <si>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</si>
  <si>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</si>
  <si>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</si>
  <si>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</si>
  <si>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</si>
  <si>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</si>
  <si>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</si>
  <si>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</si>
  <si>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</si>
  <si>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</si>
  <si>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</si>
  <si>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</si>
  <si>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</si>
  <si>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</si>
  <si>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</si>
  <si>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</si>
  <si>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</si>
  <si>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</si>
  <si>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</si>
  <si>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</si>
  <si>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</si>
  <si>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</si>
  <si>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</si>
  <si>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</si>
  <si>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</si>
  <si>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</si>
  <si>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</si>
  <si>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</si>
  <si>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</si>
  <si>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</si>
  <si>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</si>
  <si>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</si>
  <si>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</si>
  <si>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</si>
  <si>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</si>
  <si>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</si>
  <si>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</si>
  <si>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</si>
  <si>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</si>
  <si>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</si>
  <si>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</si>
  <si>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</si>
  <si>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</si>
  <si>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</si>
  <si>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</si>
  <si>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</si>
  <si>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</si>
  <si>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</si>
  <si>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</si>
  <si>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</si>
  <si>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</si>
  <si>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</si>
  <si>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</si>
  <si>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</si>
  <si>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</si>
  <si>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</si>
  <si>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</si>
  <si>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</si>
  <si>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</si>
  <si>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</si>
  <si>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</si>
  <si>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</si>
  <si>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</si>
  <si>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</si>
  <si>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</si>
  <si>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</si>
  <si>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</si>
  <si>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</si>
  <si>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</si>
  <si>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</si>
  <si>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</si>
  <si>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</si>
  <si>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</si>
  <si>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</si>
  <si>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</si>
  <si>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</si>
  <si>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</si>
  <si>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</si>
  <si>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</si>
  <si>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</si>
  <si>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</si>
  <si>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</si>
  <si>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</si>
  <si>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</si>
  <si>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</si>
  <si>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</si>
  <si>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</si>
  <si>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</si>
  <si>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</si>
  <si>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</si>
  <si>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</si>
  <si>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</si>
  <si>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</si>
  <si>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</si>
  <si>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</si>
  <si>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</si>
  <si>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</si>
  <si>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</si>
  <si>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</si>
  <si>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</si>
  <si>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</si>
  <si>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</si>
  <si>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</si>
  <si>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</si>
  <si>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</si>
  <si>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</si>
  <si>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</si>
  <si>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</si>
  <si>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</si>
  <si>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</si>
  <si>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</si>
  <si>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</si>
  <si>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</si>
  <si>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</si>
  <si>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</si>
  <si>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</si>
  <si>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</si>
  <si>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</si>
  <si>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</si>
  <si>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</si>
  <si>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</si>
  <si>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</si>
  <si>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</si>
  <si>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</si>
  <si>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</si>
  <si>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</si>
  <si>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</si>
  <si>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</si>
  <si>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</si>
  <si>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</si>
  <si>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</si>
  <si>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</si>
  <si>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</si>
  <si>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</si>
  <si>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</si>
  <si>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</si>
  <si>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</si>
  <si>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</si>
  <si>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</si>
  <si>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</si>
  <si>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</si>
  <si>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</si>
  <si>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</si>
  <si>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</si>
  <si>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</si>
  <si>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</si>
  <si>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</si>
  <si>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</si>
  <si>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</si>
  <si>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</si>
  <si>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</si>
  <si>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</si>
  <si>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</si>
  <si>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</si>
  <si>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</si>
  <si>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</si>
  <si>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</si>
  <si>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</si>
  <si>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</si>
  <si>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</si>
  <si>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</si>
  <si>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</si>
  <si>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</si>
  <si>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</si>
  <si>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</si>
  <si>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</si>
  <si>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</si>
  <si>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</si>
  <si>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</si>
  <si>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</si>
  <si>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</si>
  <si>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</si>
  <si>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</si>
  <si>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</si>
  <si>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</si>
  <si>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</si>
  <si>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</si>
  <si>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</si>
  <si>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</si>
  <si>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</si>
  <si>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</si>
  <si>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</si>
  <si>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</si>
  <si>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</si>
  <si>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</si>
  <si>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</si>
  <si>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</si>
  <si>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</si>
  <si>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</si>
  <si>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</si>
  <si>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</si>
  <si>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</si>
  <si>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</si>
  <si>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</si>
  <si>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</si>
  <si>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</si>
  <si>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</si>
  <si>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</si>
  <si>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</si>
  <si>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</si>
  <si>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</si>
  <si>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</si>
  <si>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</si>
  <si>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</si>
  <si>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</si>
  <si>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</si>
  <si>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</si>
  <si>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</si>
  <si>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</si>
  <si>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</si>
  <si>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</si>
  <si>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</si>
  <si>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</si>
  <si>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</si>
  <si>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</si>
  <si>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</si>
  <si>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</si>
  <si>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</si>
  <si>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</si>
  <si>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</si>
  <si>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</si>
  <si>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</si>
  <si>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</si>
  <si>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</si>
  <si>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</si>
  <si>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</si>
  <si>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</si>
  <si>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</si>
  <si>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</si>
  <si>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</si>
  <si>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</si>
  <si>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</si>
  <si>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</si>
  <si>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</si>
  <si>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</si>
  <si>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</si>
  <si>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</si>
  <si>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</si>
  <si>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</si>
  <si>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</si>
  <si>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</si>
  <si>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</si>
  <si>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</si>
  <si>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</si>
  <si>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</si>
  <si>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</si>
  <si>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</si>
  <si>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</si>
  <si>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</si>
  <si>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</si>
  <si>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</si>
  <si>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</si>
  <si>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</si>
  <si>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</si>
  <si>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</si>
  <si>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</si>
  <si>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</si>
  <si>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</si>
  <si>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</si>
  <si>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</si>
  <si>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</si>
  <si>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</si>
  <si>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</si>
  <si>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</si>
  <si>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</si>
  <si>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</si>
  <si>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</si>
  <si>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</si>
  <si>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</si>
  <si>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</si>
  <si>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</si>
  <si>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</si>
  <si>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</si>
  <si>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</si>
  <si>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</si>
  <si>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</si>
  <si>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</si>
  <si>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</si>
  <si>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</si>
  <si>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</si>
  <si>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</si>
  <si>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</si>
  <si>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</si>
  <si>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</si>
  <si>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</si>
  <si>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</si>
  <si>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</si>
  <si>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</si>
  <si>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</si>
  <si>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</si>
  <si>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</si>
  <si>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</si>
  <si>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</si>
  <si>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</si>
  <si>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</si>
  <si>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</si>
  <si>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</si>
  <si>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</si>
  <si>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</si>
  <si>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</si>
  <si>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</si>
  <si>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</si>
  <si>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</si>
  <si>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</si>
  <si>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</si>
  <si>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</si>
  <si>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</si>
  <si>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</si>
  <si>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</si>
  <si>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</si>
  <si>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</si>
  <si>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</si>
  <si>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</si>
  <si>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</si>
  <si>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</si>
  <si>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</si>
  <si>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</si>
  <si>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</si>
  <si>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</si>
  <si>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</si>
  <si>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</si>
  <si>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</si>
  <si>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</si>
  <si>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</si>
  <si>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</si>
  <si>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</si>
  <si>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</si>
  <si>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</si>
  <si>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</si>
  <si>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</si>
  <si>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</si>
  <si>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</si>
  <si>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</si>
  <si>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</si>
  <si>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</si>
  <si>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</si>
  <si>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</si>
  <si>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</si>
  <si>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</si>
  <si>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</si>
  <si>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</si>
  <si>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</si>
  <si>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</si>
  <si>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</si>
  <si>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</si>
  <si>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</si>
  <si>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</si>
  <si>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</si>
  <si>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</si>
  <si>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</si>
  <si>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</si>
  <si>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</si>
  <si>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</si>
  <si>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</si>
  <si>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</si>
  <si>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</si>
  <si>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</si>
  <si>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</si>
  <si>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</si>
  <si>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</si>
  <si>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</si>
  <si>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</si>
  <si>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</si>
  <si>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</si>
  <si>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</si>
  <si>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</si>
  <si>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</si>
  <si>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</si>
  <si>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</si>
  <si>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</si>
  <si>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</si>
  <si>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</si>
  <si>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</si>
  <si>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</si>
  <si>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</si>
  <si>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</si>
  <si>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</si>
  <si>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</si>
  <si>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</si>
  <si>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</si>
  <si>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</si>
  <si>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</si>
  <si>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</si>
  <si>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</si>
  <si>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</si>
  <si>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</si>
  <si>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</si>
  <si>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</si>
  <si>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</si>
  <si>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</si>
  <si>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</si>
  <si>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</si>
  <si>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</si>
  <si>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</si>
  <si>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</si>
  <si>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</si>
  <si>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</si>
  <si>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</si>
  <si>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</si>
  <si>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</si>
  <si>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</si>
  <si>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</si>
  <si>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</si>
  <si>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</si>
  <si>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</si>
  <si>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</si>
  <si>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</si>
  <si>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</si>
  <si>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</si>
  <si>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</si>
  <si>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</si>
  <si>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</si>
  <si>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</si>
  <si>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</si>
  <si>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</si>
  <si>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</si>
  <si>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</si>
  <si>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</si>
  <si>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</si>
  <si>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</si>
  <si>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</si>
  <si>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</si>
  <si>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</si>
  <si>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</si>
  <si>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</si>
  <si>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</si>
  <si>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</si>
  <si>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</si>
  <si>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</si>
  <si>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</si>
  <si>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</si>
  <si>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</si>
  <si>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</si>
  <si>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</si>
  <si>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</si>
  <si>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</si>
  <si>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</si>
  <si>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</si>
  <si>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</si>
  <si>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</si>
  <si>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</si>
  <si>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</si>
  <si>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</si>
  <si>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</si>
  <si>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</si>
  <si>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</si>
  <si>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</si>
  <si>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</si>
  <si>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</si>
  <si>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</si>
  <si>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</si>
  <si>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</si>
  <si>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</si>
  <si>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</si>
  <si>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</si>
  <si>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</si>
  <si>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</si>
  <si>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</si>
  <si>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</si>
  <si>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</si>
  <si>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</si>
  <si>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</si>
  <si>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</si>
  <si>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</si>
  <si>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</si>
  <si>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</si>
  <si>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</si>
  <si>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</si>
  <si>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</si>
  <si>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</si>
  <si>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</si>
  <si>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</si>
  <si>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</si>
  <si>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</si>
  <si>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</si>
  <si>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</si>
  <si>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</si>
  <si>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</si>
  <si>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</si>
  <si>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</si>
  <si>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</si>
  <si>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</si>
  <si>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</si>
  <si>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</si>
  <si>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</si>
  <si>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</si>
  <si>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</si>
  <si>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</si>
  <si>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</si>
  <si>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</si>
  <si>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</si>
  <si>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</si>
  <si>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</si>
  <si>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</si>
  <si>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</si>
  <si>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</si>
  <si>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</si>
  <si>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</si>
  <si>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</si>
  <si>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</si>
  <si>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</si>
  <si>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</si>
  <si>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</si>
  <si>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</si>
  <si>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</si>
  <si>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</si>
  <si>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</si>
  <si>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</si>
  <si>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</si>
  <si>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</si>
  <si>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</si>
  <si>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</si>
  <si>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</si>
  <si>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</si>
  <si>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</si>
  <si>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</si>
  <si>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</si>
  <si>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</si>
  <si>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</si>
  <si>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</si>
  <si>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</si>
  <si>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</si>
  <si>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</si>
  <si>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</si>
  <si>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</si>
  <si>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</si>
  <si>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</si>
  <si>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</si>
  <si>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</si>
  <si>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</si>
  <si>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</si>
  <si>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</si>
  <si>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</si>
  <si>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</si>
  <si>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</si>
  <si>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</si>
  <si>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</si>
  <si>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</si>
  <si>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</si>
  <si>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</si>
  <si>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</si>
  <si>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</si>
  <si>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</si>
  <si>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</si>
  <si>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</si>
  <si>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</si>
  <si>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</si>
  <si>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</si>
  <si>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</si>
  <si>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</si>
  <si>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</si>
  <si>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</si>
  <si>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</si>
  <si>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</si>
  <si>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</si>
  <si>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</si>
  <si>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</si>
  <si>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</si>
  <si>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</si>
  <si>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</si>
  <si>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</si>
  <si>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</si>
  <si>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</si>
  <si>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</si>
  <si>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</si>
  <si>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</si>
  <si>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</si>
  <si>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</si>
  <si>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</si>
  <si>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</si>
  <si>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</si>
  <si>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</si>
  <si>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</si>
  <si>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</si>
  <si>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</si>
  <si>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</si>
  <si>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</si>
  <si>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</si>
  <si>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</si>
  <si>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</si>
  <si>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</si>
  <si>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</si>
  <si>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</si>
  <si>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</si>
  <si>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</si>
  <si>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</si>
  <si>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</si>
  <si>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</si>
  <si>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</si>
  <si>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</si>
  <si>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</si>
  <si>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</si>
  <si>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</si>
  <si>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</si>
  <si>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</si>
  <si>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</si>
  <si>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</si>
  <si>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</si>
  <si>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</si>
  <si>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</si>
  <si>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</si>
  <si>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</si>
  <si>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</si>
  <si>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</si>
  <si>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</si>
  <si>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</si>
  <si>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</si>
  <si>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</si>
  <si>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</si>
  <si>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</si>
  <si>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</si>
  <si>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</si>
  <si>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</si>
  <si>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</si>
  <si>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</si>
  <si>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</si>
  <si>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</si>
  <si>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</si>
  <si>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</si>
  <si>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</si>
  <si>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</si>
  <si>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</si>
  <si>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</si>
  <si>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</si>
  <si>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</si>
  <si>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</si>
  <si>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</si>
  <si>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</si>
  <si>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</si>
  <si>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</si>
  <si>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</si>
  <si>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</si>
  <si>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</si>
  <si>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</si>
  <si>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</si>
  <si>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</si>
  <si>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</si>
  <si>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</si>
  <si>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</si>
  <si>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</si>
  <si>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</si>
  <si>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</si>
  <si>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</si>
  <si>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</si>
  <si>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</si>
  <si>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</si>
  <si>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</si>
  <si>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</si>
  <si>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</si>
  <si>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</si>
  <si>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</si>
  <si>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</si>
  <si>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</si>
  <si>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</si>
  <si>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</si>
  <si>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</si>
  <si>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</si>
  <si>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</si>
  <si>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</si>
  <si>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</si>
  <si>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</si>
  <si>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</si>
  <si>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</si>
  <si>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</si>
  <si>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</si>
  <si>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</si>
  <si>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</si>
  <si>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</si>
  <si>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</si>
  <si>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</si>
  <si>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</si>
  <si>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</si>
  <si>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</si>
  <si>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</si>
  <si>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</si>
  <si>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</si>
  <si>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</si>
  <si>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</si>
  <si>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</si>
  <si>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</si>
  <si>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</si>
  <si>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</si>
  <si>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</si>
  <si>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</si>
  <si>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</si>
  <si>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</si>
  <si>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</si>
  <si>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</si>
  <si>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</si>
  <si>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</si>
  <si>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</si>
  <si>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</si>
  <si>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</si>
  <si>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</si>
  <si>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</si>
  <si>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</si>
  <si>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</si>
  <si>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</si>
  <si>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</si>
  <si>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</si>
  <si>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</si>
  <si>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</si>
  <si>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</si>
  <si>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</si>
  <si>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</si>
  <si>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</si>
  <si>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</si>
  <si>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</si>
  <si>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</si>
  <si>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</si>
  <si>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</si>
  <si>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</si>
  <si>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</si>
  <si>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</si>
  <si>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</si>
  <si>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</si>
  <si>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</si>
  <si>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</si>
  <si>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</si>
  <si>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</si>
  <si>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</si>
  <si>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</si>
  <si>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</si>
  <si>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</si>
  <si>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</si>
  <si>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</si>
  <si>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</si>
  <si>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</si>
  <si>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</si>
  <si>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</si>
  <si>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</si>
  <si>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</si>
  <si>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</si>
  <si>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</si>
  <si>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</si>
  <si>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</si>
  <si>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</si>
  <si>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</si>
  <si>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</si>
  <si>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</si>
  <si>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</si>
  <si>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</si>
  <si>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</si>
  <si>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</si>
  <si>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</si>
  <si>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</si>
  <si>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</si>
  <si>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</si>
  <si>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</si>
  <si>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</si>
  <si>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</si>
  <si>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</si>
  <si>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</si>
  <si>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</si>
  <si>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</si>
  <si>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</si>
  <si>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</si>
  <si>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</si>
  <si>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</si>
  <si>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</si>
  <si>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</si>
  <si>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</si>
  <si>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</si>
  <si>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</si>
  <si>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</si>
  <si>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</si>
  <si>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</si>
  <si>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</si>
  <si>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</si>
  <si>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</si>
  <si>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</si>
  <si>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</si>
  <si>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</si>
  <si>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</si>
  <si>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</si>
  <si>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</si>
  <si>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</si>
  <si>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</si>
  <si>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</si>
  <si>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</si>
  <si>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</si>
  <si>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</si>
  <si>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</si>
  <si>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</si>
  <si>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</si>
  <si>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</si>
  <si>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</si>
  <si>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</si>
  <si>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</si>
  <si>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</si>
  <si>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</si>
  <si>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</si>
  <si>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</si>
  <si>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</si>
  <si>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</si>
  <si>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</si>
  <si>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</si>
  <si>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</si>
  <si>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</si>
  <si>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</si>
  <si>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</si>
  <si>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</si>
  <si>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</si>
  <si>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</si>
  <si>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</si>
  <si>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</si>
  <si>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</si>
  <si>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</si>
  <si>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</si>
  <si>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</si>
  <si>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</si>
  <si>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</si>
  <si>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</si>
  <si>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</si>
  <si>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</si>
  <si>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</si>
  <si>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</si>
  <si>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</si>
  <si>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</si>
  <si>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</si>
  <si>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</si>
  <si>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</si>
  <si>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</si>
  <si>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</si>
  <si>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</si>
  <si>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</si>
  <si>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</si>
  <si>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</si>
  <si>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</si>
  <si>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</si>
  <si>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</si>
  <si>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</si>
  <si>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</si>
  <si>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</si>
  <si>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</si>
  <si>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</si>
  <si>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</si>
  <si>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</si>
  <si>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</si>
  <si>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</si>
  <si>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</si>
  <si>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</si>
  <si>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</si>
  <si>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</si>
  <si>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</si>
  <si>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</si>
  <si>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</si>
  <si>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</si>
  <si>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</si>
  <si>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</si>
  <si>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</si>
  <si>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</si>
  <si>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</si>
  <si>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</si>
  <si>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</si>
  <si>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</si>
  <si>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</si>
  <si>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</si>
  <si>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</si>
  <si>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</si>
  <si>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</si>
  <si>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</si>
  <si>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</si>
  <si>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</si>
  <si>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</si>
  <si>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</si>
  <si>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</si>
  <si>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</si>
  <si>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</si>
  <si>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</si>
  <si>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</si>
  <si>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</si>
  <si>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</si>
  <si>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</si>
  <si>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</si>
  <si>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</si>
  <si>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</si>
  <si>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</si>
  <si>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</si>
  <si>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</si>
  <si>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</si>
  <si>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</si>
  <si>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</si>
  <si>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</si>
  <si>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</si>
  <si>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</si>
  <si>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</si>
  <si>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</si>
  <si>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</si>
  <si>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</si>
  <si>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</si>
  <si>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</si>
  <si>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</si>
  <si>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</si>
  <si>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</si>
  <si>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</si>
  <si>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</si>
  <si>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</si>
  <si>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</si>
  <si>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</si>
  <si>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</si>
  <si>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</si>
  <si>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</si>
  <si>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</si>
  <si>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</si>
  <si>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</si>
  <si>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</si>
  <si>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</si>
  <si>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</si>
  <si>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</si>
  <si>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</si>
  <si>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</si>
  <si>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</si>
  <si>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</si>
  <si>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</si>
  <si>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</si>
  <si>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</si>
  <si>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</si>
  <si>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</si>
  <si>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</si>
  <si>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</si>
  <si>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</si>
  <si>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</si>
  <si>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</si>
  <si>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</si>
  <si>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</si>
  <si>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</si>
  <si>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</si>
  <si>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</si>
  <si>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</si>
  <si>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</si>
  <si>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</si>
  <si>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</si>
  <si>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</si>
  <si>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</si>
  <si>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</si>
  <si>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</si>
  <si>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</si>
  <si>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</si>
  <si>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</si>
  <si>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</si>
  <si>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</si>
  <si>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</si>
  <si>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</si>
  <si>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</si>
  <si>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</si>
  <si>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</si>
  <si>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</si>
  <si>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</si>
  <si>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</si>
  <si>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</si>
  <si>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</si>
  <si>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</si>
  <si>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</si>
  <si>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</si>
  <si>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</si>
  <si>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</si>
  <si>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</si>
  <si>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</si>
  <si>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</si>
  <si>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</si>
  <si>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</si>
  <si>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</si>
  <si>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</si>
  <si>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</si>
  <si>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</si>
  <si>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</si>
  <si>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</si>
  <si>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</si>
  <si>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</si>
  <si>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</si>
  <si>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</si>
  <si>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</si>
  <si>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</si>
  <si>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</si>
  <si>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</si>
  <si>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</si>
  <si>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</si>
  <si>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</si>
  <si>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</si>
  <si>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</si>
  <si>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</si>
  <si>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</si>
  <si>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</si>
  <si>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</si>
  <si>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</si>
  <si>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</si>
  <si>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</si>
  <si>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</si>
  <si>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</si>
  <si>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</si>
  <si>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</si>
  <si>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</si>
  <si>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</si>
  <si>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</si>
  <si>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</si>
  <si>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</si>
  <si>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</si>
  <si>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</si>
  <si>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</si>
  <si>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</si>
  <si>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</si>
  <si>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</si>
  <si>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</si>
  <si>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</si>
  <si>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</si>
  <si>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</si>
  <si>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</si>
  <si>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</si>
  <si>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</si>
  <si>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</si>
  <si>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</si>
  <si>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</si>
  <si>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</si>
  <si>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</si>
  <si>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</si>
  <si>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</si>
  <si>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</si>
  <si>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</si>
  <si>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</si>
  <si>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</si>
  <si>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</si>
  <si>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</si>
  <si>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</si>
  <si>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</si>
  <si>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</si>
  <si>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</si>
  <si>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</si>
  <si>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</si>
  <si>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</si>
  <si>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</si>
  <si>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</si>
  <si>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</si>
  <si>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</si>
  <si>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</si>
  <si>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</si>
  <si>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</si>
  <si>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</si>
  <si>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</si>
  <si>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</si>
  <si>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</si>
  <si>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</si>
  <si>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</si>
  <si>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</si>
  <si>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</si>
  <si>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</si>
  <si>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</si>
  <si>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</si>
  <si>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</si>
  <si>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</si>
  <si>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</si>
  <si>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</si>
  <si>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</si>
  <si>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</si>
  <si>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</si>
  <si>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</si>
  <si>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</si>
  <si>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</si>
  <si>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</si>
  <si>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</si>
  <si>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</si>
  <si>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</si>
  <si>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</si>
  <si>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</si>
  <si>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</si>
  <si>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</si>
  <si>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</si>
  <si>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</si>
  <si>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</si>
  <si>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</si>
  <si>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</si>
  <si>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</si>
  <si>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</si>
  <si>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</si>
  <si>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</si>
  <si>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</si>
  <si>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</si>
  <si>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</si>
  <si>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</si>
  <si>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</si>
  <si>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</si>
  <si>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</si>
  <si>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</si>
  <si>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</si>
  <si>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</si>
  <si>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</si>
  <si>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</si>
  <si>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</si>
  <si>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</si>
  <si>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</si>
  <si>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</si>
  <si>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</si>
  <si>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</si>
  <si>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</si>
  <si>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</si>
  <si>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</si>
  <si>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</si>
  <si>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</si>
  <si>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</si>
  <si>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</si>
  <si>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</si>
  <si>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</si>
  <si>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</si>
  <si>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</si>
  <si>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</si>
  <si>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</si>
  <si>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</si>
  <si>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</si>
  <si>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</si>
  <si>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</si>
  <si>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</si>
  <si>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</si>
  <si>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</si>
  <si>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</si>
  <si>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</si>
  <si>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</si>
  <si>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</si>
  <si>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</si>
  <si>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</si>
  <si>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</si>
  <si>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</si>
  <si>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</si>
  <si>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</si>
  <si>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</si>
  <si>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</si>
  <si>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</si>
  <si>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</si>
  <si>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</si>
  <si>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</si>
  <si>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</si>
  <si>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</si>
  <si>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</si>
  <si>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</si>
  <si>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</si>
  <si>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</si>
  <si>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</si>
  <si>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</si>
  <si>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</si>
  <si>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</si>
  <si>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</si>
  <si>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</si>
  <si>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</si>
  <si>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</si>
  <si>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</si>
  <si>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</si>
  <si>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</si>
  <si>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</si>
  <si>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</si>
  <si>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</si>
  <si>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</si>
  <si>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</si>
  <si>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</si>
  <si>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</si>
  <si>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</si>
  <si>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</si>
  <si>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</si>
  <si>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</si>
  <si>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</si>
  <si>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</si>
  <si>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</si>
  <si>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</si>
  <si>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</si>
  <si>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</si>
  <si>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</si>
  <si>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</si>
  <si>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</si>
  <si>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</si>
  <si>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</si>
  <si>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</si>
  <si>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</si>
  <si>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</si>
  <si>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</si>
  <si>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</si>
  <si>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</si>
  <si>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</si>
  <si>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</si>
  <si>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</si>
  <si>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</si>
  <si>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</si>
  <si>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</si>
  <si>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</si>
  <si>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</si>
  <si>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</si>
  <si>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</si>
  <si>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</si>
  <si>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</si>
  <si>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</si>
  <si>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</si>
  <si>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</si>
  <si>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</si>
  <si>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</si>
  <si>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</si>
  <si>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</si>
  <si>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</si>
  <si>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</si>
  <si>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</si>
  <si>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</si>
  <si>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</si>
  <si>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</si>
  <si>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</si>
  <si>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</si>
  <si>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</si>
  <si>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</si>
  <si>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</si>
  <si>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</si>
  <si>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</si>
  <si>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</si>
  <si>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</si>
  <si>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</si>
  <si>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</si>
  <si>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</si>
  <si>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</si>
  <si>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</si>
  <si>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</si>
  <si>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</si>
  <si>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</si>
  <si>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</si>
  <si>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</si>
  <si>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</si>
  <si>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</si>
  <si>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</si>
  <si>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</si>
  <si>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</si>
  <si>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</si>
  <si>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</si>
  <si>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</si>
  <si>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</si>
  <si>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</si>
  <si>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</si>
  <si>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</si>
  <si>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</si>
  <si>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</si>
  <si>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</si>
  <si>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</si>
  <si>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</si>
  <si>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</si>
  <si>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</si>
  <si>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</si>
  <si>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</si>
  <si>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</si>
  <si>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</si>
  <si>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</si>
  <si>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</si>
  <si>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</si>
  <si>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</si>
  <si>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</si>
  <si>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</si>
  <si>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</si>
  <si>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</si>
  <si>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</si>
  <si>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</si>
  <si>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</si>
  <si>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</si>
  <si>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</si>
  <si>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</si>
  <si>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</si>
  <si>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</si>
  <si>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</si>
  <si>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</si>
  <si>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</si>
  <si>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</si>
  <si>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</si>
  <si>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</si>
  <si>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</si>
  <si>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</si>
  <si>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</si>
  <si>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</si>
  <si>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</si>
  <si>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</si>
  <si>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</si>
  <si>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</si>
  <si>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</si>
  <si>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</si>
  <si>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</si>
  <si>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</si>
  <si>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</si>
  <si>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</si>
  <si>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</si>
  <si>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</si>
  <si>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</si>
  <si>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</si>
  <si>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</si>
  <si>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</si>
  <si>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</si>
  <si>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</si>
  <si>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</si>
  <si>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</si>
  <si>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</si>
  <si>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</si>
  <si>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</si>
  <si>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</si>
  <si>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</si>
  <si>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</si>
  <si>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</si>
  <si>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</si>
  <si>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</si>
  <si>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</si>
  <si>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</si>
  <si>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</si>
  <si>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</si>
  <si>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</si>
  <si>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</si>
  <si>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</si>
  <si>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</si>
  <si>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</si>
  <si>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</si>
  <si>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</si>
  <si>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</si>
  <si>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</si>
  <si>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</si>
  <si>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</si>
  <si>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</si>
  <si>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</si>
  <si>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</si>
  <si>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</si>
  <si>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</si>
  <si>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</si>
  <si>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</si>
  <si>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</si>
  <si>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</si>
  <si>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</si>
  <si>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</si>
  <si>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</si>
  <si>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</si>
  <si>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</si>
  <si>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</si>
  <si>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</si>
  <si>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</si>
  <si>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</si>
  <si>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</si>
  <si>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</si>
  <si>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</si>
  <si>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</si>
  <si>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</si>
  <si>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</si>
  <si>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</si>
  <si>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</si>
  <si>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</si>
  <si>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</si>
  <si>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</si>
  <si>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</si>
  <si>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</si>
  <si>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</si>
  <si>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</si>
  <si>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</si>
  <si>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</si>
  <si>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</si>
  <si>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</si>
  <si>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</si>
  <si>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</si>
  <si>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</si>
  <si>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</si>
  <si>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</si>
  <si>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</si>
  <si>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</si>
  <si>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</si>
  <si>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</si>
  <si>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</si>
  <si>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</si>
  <si>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</si>
  <si>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</si>
  <si>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</si>
  <si>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</si>
  <si>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</si>
  <si>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</si>
  <si>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</si>
  <si>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</si>
  <si>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</si>
  <si>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</si>
  <si>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</si>
  <si>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</si>
  <si>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</si>
  <si>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</si>
  <si>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</si>
  <si>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</si>
  <si>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</si>
  <si>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</si>
  <si>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</si>
  <si>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</si>
  <si>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</si>
  <si>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</si>
  <si>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</si>
  <si>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</si>
  <si>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</si>
  <si>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</si>
  <si>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</si>
  <si>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</si>
  <si>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</si>
  <si>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</si>
  <si>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</si>
  <si>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</si>
  <si>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</si>
  <si>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</si>
  <si>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</si>
  <si>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</si>
  <si>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</si>
  <si>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</si>
  <si>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</si>
  <si>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</si>
  <si>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</si>
  <si>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</si>
  <si>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</si>
  <si>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</si>
  <si>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</si>
  <si>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</si>
  <si>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</si>
  <si>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</si>
  <si>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</si>
  <si>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</si>
  <si>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</si>
  <si>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</si>
  <si>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</si>
  <si>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</si>
  <si>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</si>
  <si>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</si>
  <si>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</si>
  <si>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</si>
  <si>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</si>
  <si>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</si>
  <si>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</si>
  <si>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</si>
  <si>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</si>
  <si>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</si>
  <si>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</si>
  <si>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</si>
  <si>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</si>
  <si>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</si>
  <si>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</si>
  <si>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</si>
  <si>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</si>
  <si>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</si>
  <si>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</si>
  <si>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</si>
  <si>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</si>
  <si>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</si>
  <si>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</si>
  <si>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</si>
  <si>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</si>
  <si>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</si>
  <si>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</si>
  <si>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</si>
  <si>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</si>
  <si>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</si>
  <si>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</si>
  <si>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</si>
  <si>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</si>
  <si>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</si>
  <si>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</si>
  <si>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</si>
  <si>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</si>
  <si>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</si>
  <si>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</si>
  <si>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</si>
  <si>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</si>
  <si>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</si>
  <si>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</si>
  <si>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</si>
  <si>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</si>
  <si>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</si>
  <si>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</si>
  <si>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</si>
  <si>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</si>
  <si>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</si>
  <si>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</si>
  <si>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</si>
  <si>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</si>
  <si>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</si>
  <si>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</si>
  <si>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</si>
  <si>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</si>
  <si>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</si>
  <si>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</si>
  <si>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</si>
  <si>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</si>
  <si>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</si>
  <si>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</si>
  <si>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</si>
  <si>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</si>
  <si>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</si>
  <si>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</si>
  <si>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</si>
  <si>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</si>
  <si>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</si>
  <si>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</si>
  <si>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</si>
  <si>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</si>
  <si>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</si>
  <si>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</si>
  <si>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</si>
  <si>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</si>
  <si>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</si>
  <si>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</si>
  <si>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</si>
  <si>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</si>
  <si>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</si>
  <si>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</si>
  <si>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</si>
  <si>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</si>
  <si>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</si>
  <si>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</si>
  <si>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</si>
  <si>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</si>
  <si>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</si>
  <si>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</si>
  <si>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</si>
  <si>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</si>
  <si>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</si>
  <si>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</si>
  <si>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</si>
  <si>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</si>
  <si>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</si>
  <si>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</si>
  <si>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</si>
  <si>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</si>
  <si>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</si>
  <si>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</si>
  <si>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</si>
  <si>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</si>
  <si>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</si>
  <si>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</si>
  <si>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</si>
  <si>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</si>
  <si>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</si>
  <si>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</si>
  <si>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</si>
  <si>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</si>
  <si>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</si>
  <si>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</si>
  <si>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</si>
  <si>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</si>
  <si>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</si>
  <si>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</si>
  <si>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</si>
  <si>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</si>
  <si>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</si>
  <si>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</si>
  <si>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</si>
  <si>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</si>
  <si>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</si>
  <si>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</si>
  <si>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</si>
  <si>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</si>
  <si>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</si>
  <si>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</si>
  <si>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</si>
  <si>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</si>
  <si>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</si>
  <si>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</si>
  <si>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</si>
  <si>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</si>
  <si>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</si>
  <si>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</si>
  <si>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</si>
  <si>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</si>
  <si>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</si>
  <si>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</si>
  <si>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</si>
  <si>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</si>
  <si>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</si>
  <si>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</si>
  <si>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</si>
  <si>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</si>
  <si>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</si>
  <si>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</si>
  <si>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</si>
  <si>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</si>
  <si>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</si>
  <si>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</si>
  <si>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</si>
  <si>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</si>
  <si>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</si>
  <si>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</si>
  <si>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</si>
  <si>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</si>
  <si>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</si>
  <si>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</si>
  <si>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</si>
  <si>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</si>
  <si>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</si>
  <si>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</si>
  <si>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</si>
  <si>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</si>
  <si>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</si>
  <si>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</si>
  <si>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</si>
  <si>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</si>
  <si>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</si>
  <si>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</si>
  <si>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</si>
  <si>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</si>
  <si>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</si>
  <si>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</si>
  <si>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</si>
  <si>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</si>
  <si>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</si>
  <si>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</si>
  <si>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</si>
  <si>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</si>
  <si>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</si>
  <si>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</si>
  <si>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</si>
  <si>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</si>
  <si>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</si>
  <si>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</si>
  <si>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</si>
  <si>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</si>
  <si>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</si>
  <si>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</si>
  <si>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</si>
  <si>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</si>
  <si>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</si>
  <si>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</si>
  <si>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</si>
  <si>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</si>
  <si>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</si>
  <si>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</si>
  <si>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</si>
  <si>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</si>
  <si>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</si>
  <si>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</si>
  <si>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</si>
  <si>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</si>
  <si>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</si>
  <si>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</si>
  <si>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</si>
  <si>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</si>
  <si>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</si>
  <si>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</si>
  <si>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</si>
  <si>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</si>
  <si>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</si>
  <si>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</si>
  <si>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</si>
  <si>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</si>
  <si>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</si>
  <si>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</si>
  <si>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</si>
  <si>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</si>
  <si>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</si>
  <si>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</si>
  <si>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</si>
  <si>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</si>
  <si>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</si>
  <si>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</si>
  <si>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</si>
  <si>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</si>
  <si>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</si>
  <si>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</si>
  <si>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</si>
  <si>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</si>
  <si>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</si>
  <si>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</si>
  <si>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</si>
  <si>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</si>
  <si>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</si>
  <si>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</si>
  <si>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</si>
  <si>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</si>
  <si>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</si>
  <si>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</si>
  <si>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</si>
  <si>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</si>
  <si>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</si>
  <si>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</si>
  <si>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</si>
  <si>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</si>
  <si>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</si>
  <si>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</si>
  <si>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</si>
  <si>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</si>
  <si>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</si>
  <si>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</si>
  <si>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</si>
  <si>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</si>
  <si>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</si>
  <si>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</si>
  <si>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</si>
  <si>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</si>
  <si>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</si>
  <si>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</si>
  <si>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</si>
  <si>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</si>
  <si>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</si>
  <si>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</si>
  <si>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</si>
  <si>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</si>
  <si>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</si>
  <si>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</si>
  <si>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</si>
  <si>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</si>
  <si>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</si>
  <si>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</si>
  <si>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</si>
  <si>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</si>
  <si>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</si>
  <si>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</si>
  <si>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</si>
  <si>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</si>
  <si>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</si>
  <si>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</si>
  <si>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</si>
  <si>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</si>
  <si>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</si>
  <si>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</si>
  <si>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</si>
  <si>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</si>
  <si>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</si>
  <si>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</si>
  <si>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</si>
  <si>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</si>
  <si>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</si>
  <si>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</si>
  <si>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</si>
  <si>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</si>
  <si>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</si>
  <si>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</si>
  <si>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</si>
  <si>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</si>
  <si>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</si>
  <si>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</si>
  <si>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</si>
  <si>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</si>
  <si>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</si>
  <si>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</si>
  <si>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</si>
  <si>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</si>
  <si>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</si>
  <si>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</si>
  <si>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</si>
  <si>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</si>
  <si>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</si>
  <si>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</si>
  <si>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</si>
  <si>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</si>
  <si>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</si>
  <si>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</si>
  <si>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</si>
  <si>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</si>
  <si>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</si>
  <si>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</si>
  <si>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</si>
  <si>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</si>
  <si>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</si>
  <si>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</si>
  <si>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</si>
  <si>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</si>
  <si>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</si>
  <si>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</si>
  <si>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</si>
  <si>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</si>
  <si>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</si>
  <si>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</si>
  <si>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</si>
  <si>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</si>
  <si>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</si>
  <si>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</si>
  <si>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</si>
  <si>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</si>
  <si>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</si>
  <si>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</si>
  <si>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</si>
  <si>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</si>
  <si>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</si>
  <si>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</si>
  <si>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</si>
  <si>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</si>
  <si>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</si>
  <si>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</si>
  <si>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</si>
  <si>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</si>
  <si>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</si>
  <si>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</si>
  <si>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</si>
  <si>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</si>
  <si>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</si>
  <si>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</si>
  <si>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</si>
  <si>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</si>
  <si>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</si>
  <si>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</si>
  <si>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</si>
  <si>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</si>
  <si>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</si>
  <si>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</si>
  <si>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</si>
  <si>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</si>
  <si>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</si>
  <si>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</si>
  <si>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</si>
  <si>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</si>
  <si>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</si>
  <si>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</si>
  <si>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</si>
  <si>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</si>
  <si>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</si>
  <si>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</si>
  <si>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</si>
  <si>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</si>
  <si>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</si>
  <si>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</si>
  <si>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</si>
  <si>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</si>
  <si>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</si>
  <si>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</si>
  <si>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</si>
  <si>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</si>
  <si>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</si>
  <si>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</si>
  <si>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</si>
  <si>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</si>
  <si>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</si>
  <si>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</si>
  <si>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</si>
  <si>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</si>
  <si>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</si>
  <si>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</si>
  <si>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</si>
  <si>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</si>
  <si>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</si>
  <si>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</si>
  <si>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</si>
  <si>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</si>
  <si>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</si>
  <si>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</si>
  <si>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</si>
  <si>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</si>
  <si>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</si>
  <si>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</si>
  <si>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</si>
  <si>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</si>
  <si>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</si>
  <si>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</si>
  <si>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</si>
  <si>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</si>
  <si>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</si>
  <si>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</si>
  <si>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</si>
  <si>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</si>
  <si>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</si>
  <si>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</si>
  <si>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</si>
  <si>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</si>
  <si>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</si>
  <si>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</si>
  <si>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</si>
  <si>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</si>
  <si>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</si>
  <si>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</si>
  <si>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</si>
  <si>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</si>
  <si>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</si>
  <si>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</si>
  <si>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</si>
  <si>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</si>
  <si>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</si>
  <si>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</si>
  <si>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</si>
  <si>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</si>
  <si>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</si>
  <si>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</si>
  <si>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</si>
  <si>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</si>
  <si>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</si>
  <si>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</si>
  <si>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</si>
  <si>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</si>
  <si>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</si>
  <si>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</si>
  <si>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</si>
  <si>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</si>
  <si>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</si>
  <si>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</si>
  <si>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</si>
  <si>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</si>
  <si>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</si>
  <si>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</si>
  <si>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</si>
  <si>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</si>
  <si>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</si>
  <si>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</si>
  <si>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</si>
  <si>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</si>
  <si>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</si>
  <si>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</si>
  <si>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</si>
  <si>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</si>
  <si>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</si>
  <si>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</si>
  <si>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</si>
  <si>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</si>
  <si>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</si>
  <si>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</si>
  <si>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</si>
  <si>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</si>
  <si>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</si>
  <si>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</si>
  <si>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</si>
  <si>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</si>
  <si>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</si>
  <si>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</si>
  <si>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</si>
  <si>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</si>
  <si>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</si>
  <si>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</si>
  <si>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</si>
  <si>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</si>
  <si>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</si>
  <si>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</si>
  <si>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</si>
  <si>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</si>
  <si>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</si>
  <si>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</si>
  <si>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</si>
  <si>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</si>
  <si>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</si>
  <si>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</si>
  <si>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</si>
  <si>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</si>
  <si>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</si>
  <si>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</si>
  <si>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</si>
  <si>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</si>
  <si>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</si>
  <si>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</si>
  <si>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</si>
  <si>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</si>
  <si>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</si>
  <si>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</si>
  <si>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</si>
  <si>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</si>
  <si>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</si>
  <si>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</si>
  <si>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</si>
  <si>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</si>
  <si>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</si>
  <si>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</si>
  <si>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</si>
  <si>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</si>
  <si>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</si>
  <si>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</si>
  <si>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</si>
  <si>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</si>
  <si>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</si>
  <si>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</si>
  <si>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</si>
  <si>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</si>
  <si>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</si>
  <si>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</si>
  <si>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</si>
  <si>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</si>
  <si>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</si>
  <si>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</si>
  <si>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</si>
  <si>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</si>
  <si>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</si>
  <si>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</si>
  <si>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</si>
  <si>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</si>
  <si>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</si>
  <si>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</si>
  <si>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</si>
  <si>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</si>
  <si>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</si>
  <si>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</si>
  <si>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</si>
  <si>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</si>
  <si>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</si>
  <si>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</si>
  <si>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</si>
  <si>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</si>
  <si>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</si>
  <si>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</si>
  <si>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</si>
  <si>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</si>
  <si>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</si>
  <si>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</si>
  <si>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</si>
  <si>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</si>
  <si>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</si>
  <si>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</si>
  <si>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</si>
  <si>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</si>
  <si>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</si>
  <si>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</si>
  <si>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</si>
  <si>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</si>
  <si>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</si>
  <si>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</si>
  <si>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</si>
  <si>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</si>
  <si>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</si>
  <si>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</si>
  <si>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</si>
  <si>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</si>
  <si>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</si>
  <si>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</si>
  <si>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</si>
  <si>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</si>
  <si>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</si>
  <si>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</si>
  <si>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</si>
  <si>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</si>
  <si>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</si>
  <si>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</si>
  <si>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</si>
  <si>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</si>
  <si>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</si>
  <si>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</si>
  <si>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</si>
  <si>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</si>
  <si>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</si>
  <si>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</si>
  <si>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</si>
  <si>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</si>
  <si>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</si>
  <si>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</si>
  <si>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</si>
  <si>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</si>
  <si>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</si>
  <si>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</si>
  <si>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</si>
  <si>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</si>
  <si>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</si>
  <si>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</si>
  <si>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</si>
  <si>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</si>
  <si>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</si>
  <si>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</si>
  <si>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</si>
  <si>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</si>
  <si>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</si>
  <si>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</si>
  <si>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</si>
  <si>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</si>
  <si>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</si>
  <si>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</si>
  <si>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</si>
  <si>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</si>
  <si>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</si>
  <si>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</si>
  <si>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</si>
  <si>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</si>
  <si>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</si>
  <si>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</si>
  <si>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</si>
  <si>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</si>
  <si>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</si>
  <si>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</si>
  <si>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</si>
  <si>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</si>
  <si>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</si>
  <si>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</si>
  <si>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</si>
  <si>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</si>
  <si>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</si>
  <si>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</si>
  <si>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</si>
  <si>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</si>
  <si>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</si>
  <si>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</si>
  <si>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</si>
  <si>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</si>
  <si>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</si>
  <si>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</si>
  <si>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</si>
  <si>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</si>
  <si>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</si>
  <si>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</si>
  <si>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</si>
  <si>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</si>
  <si>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</si>
  <si>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</si>
  <si>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</si>
  <si>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</si>
  <si>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</si>
  <si>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</si>
  <si>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</si>
  <si>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</si>
  <si>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</si>
  <si>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</si>
  <si>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</si>
  <si>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</si>
  <si>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</si>
  <si>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</si>
  <si>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</si>
  <si>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</si>
  <si>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</si>
  <si>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</si>
  <si>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</si>
  <si>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</si>
  <si>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</si>
  <si>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</si>
  <si>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</si>
  <si>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</si>
  <si>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</si>
  <si>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</si>
  <si>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</si>
  <si>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</si>
  <si>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</si>
  <si>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</si>
  <si>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</si>
  <si>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</si>
  <si>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</si>
  <si>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</si>
  <si>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</si>
  <si>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</si>
  <si>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</si>
  <si>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</si>
  <si>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</si>
  <si>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</si>
  <si>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</si>
  <si>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</si>
  <si>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</si>
  <si>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</si>
  <si>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</si>
  <si>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</si>
  <si>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</si>
  <si>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</si>
  <si>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</si>
  <si>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</si>
  <si>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</si>
  <si>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</si>
  <si>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</si>
  <si>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</si>
  <si>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</si>
  <si>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</si>
  <si>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</si>
  <si>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</si>
  <si>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</si>
  <si>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</si>
  <si>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</si>
  <si>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</si>
  <si>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</si>
  <si>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</si>
  <si>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</si>
  <si>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</si>
  <si>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</si>
  <si>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</si>
  <si>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</si>
  <si>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</si>
  <si>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</si>
  <si>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</si>
  <si>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</si>
  <si>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</si>
  <si>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</si>
  <si>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</si>
  <si>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</si>
  <si>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</si>
  <si>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</si>
  <si>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</si>
  <si>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</si>
  <si>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</si>
  <si>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</si>
  <si>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</si>
  <si>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</si>
  <si>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</si>
  <si>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</si>
  <si>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</si>
  <si>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</si>
  <si>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</si>
  <si>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</si>
  <si>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</si>
  <si>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</si>
  <si>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</si>
  <si>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</si>
  <si>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</si>
  <si>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</si>
  <si>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</si>
  <si>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</si>
  <si>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</si>
  <si>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</si>
  <si>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</si>
  <si>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</si>
  <si>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</si>
  <si>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</si>
  <si>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</si>
  <si>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</si>
  <si>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</si>
  <si>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</si>
  <si>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</si>
  <si>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</si>
  <si>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</si>
  <si>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</si>
  <si>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</si>
  <si>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</si>
  <si>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</si>
  <si>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</si>
  <si>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</si>
  <si>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</si>
  <si>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</si>
  <si>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</si>
  <si>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</si>
  <si>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</si>
  <si>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</si>
  <si>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</si>
  <si>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</si>
  <si>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</si>
  <si>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</si>
  <si>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</si>
  <si>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</si>
  <si>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</si>
  <si>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</si>
  <si>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</si>
  <si>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</si>
  <si>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</si>
  <si>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</si>
  <si>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</si>
  <si>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</si>
  <si>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</si>
  <si>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</si>
  <si>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</si>
  <si>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</si>
  <si>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</si>
  <si>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</si>
  <si>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</si>
  <si>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</si>
  <si>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</si>
  <si>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</si>
  <si>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</si>
  <si>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</si>
  <si>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</si>
  <si>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</si>
  <si>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</si>
  <si>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</si>
  <si>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</si>
  <si>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</si>
  <si>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</si>
  <si>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</si>
  <si>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</si>
  <si>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</si>
  <si>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</si>
  <si>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</si>
  <si>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</si>
  <si>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</si>
  <si>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</si>
  <si>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</si>
  <si>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</si>
  <si>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</si>
  <si>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</si>
  <si>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</si>
  <si>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</si>
  <si>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</si>
  <si>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</si>
  <si>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</si>
  <si>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</si>
  <si>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</si>
  <si>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</si>
  <si>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</si>
  <si>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</si>
  <si>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</si>
  <si>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</si>
  <si>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</si>
  <si>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</si>
  <si>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</si>
  <si>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</si>
  <si>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</si>
  <si>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</si>
  <si>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</si>
  <si>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</si>
  <si>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</si>
  <si>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</si>
  <si>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</si>
  <si>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</si>
  <si>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</si>
  <si>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</si>
  <si>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</si>
  <si>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</si>
  <si>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</si>
  <si>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</si>
  <si>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</si>
  <si>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</si>
  <si>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</si>
  <si>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</si>
  <si>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</si>
  <si>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</si>
  <si>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</si>
  <si>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</si>
  <si>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</si>
  <si>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</si>
  <si>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</si>
  <si>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</si>
  <si>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</si>
  <si>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</si>
  <si>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</si>
  <si>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</si>
  <si>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</si>
  <si>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</si>
  <si>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</si>
  <si>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</si>
  <si>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</si>
  <si>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</si>
  <si>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</si>
  <si>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</si>
  <si>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</si>
  <si>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</si>
  <si>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</si>
  <si>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</si>
  <si>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</si>
  <si>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</si>
  <si>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</si>
  <si>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</si>
  <si>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</si>
  <si>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</si>
  <si>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</si>
  <si>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</si>
  <si>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</si>
  <si>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</si>
  <si>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</si>
  <si>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</si>
  <si>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</si>
  <si>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</si>
  <si>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</si>
  <si>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</si>
  <si>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</si>
  <si>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</si>
  <si>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</si>
  <si>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</si>
  <si>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</si>
  <si>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</si>
  <si>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</si>
  <si>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</si>
  <si>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</si>
  <si>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</si>
  <si>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</si>
  <si>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</si>
  <si>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</si>
  <si>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</si>
  <si>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</si>
  <si>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</si>
  <si>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</si>
  <si>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</si>
  <si>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</si>
  <si>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</si>
  <si>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</si>
  <si>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</si>
  <si>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</si>
  <si>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</si>
  <si>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</si>
  <si>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</si>
  <si>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</si>
  <si>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</si>
  <si>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</si>
  <si>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</si>
  <si>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</si>
  <si>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</si>
  <si>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</si>
  <si>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</si>
  <si>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</si>
  <si>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</si>
  <si>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</si>
  <si>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</si>
  <si>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</si>
  <si>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</si>
  <si>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</si>
  <si>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</si>
  <si>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</si>
  <si>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</si>
  <si>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</si>
  <si>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</si>
  <si>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</si>
  <si>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</si>
  <si>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</si>
  <si>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</si>
  <si>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</si>
  <si>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</si>
  <si>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</si>
  <si>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</si>
  <si>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</si>
  <si>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</si>
  <si>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</si>
  <si>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</si>
  <si>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</si>
  <si>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</si>
  <si>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</si>
  <si>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</si>
  <si>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</si>
  <si>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</si>
  <si>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</si>
  <si>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</si>
  <si>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</si>
  <si>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</si>
  <si>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</si>
  <si>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</si>
  <si>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</si>
  <si>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</si>
  <si>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</si>
  <si>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</si>
  <si>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</si>
  <si>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</si>
  <si>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</si>
  <si>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</si>
  <si>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</si>
  <si>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</si>
  <si>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</si>
  <si>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</si>
  <si>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</si>
  <si>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</si>
  <si>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</si>
  <si>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</si>
  <si>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</si>
  <si>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</si>
  <si>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</si>
  <si>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</si>
  <si>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</si>
  <si>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</si>
  <si>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</si>
  <si>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</si>
  <si>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</si>
  <si>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</si>
  <si>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</si>
  <si>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</si>
  <si>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</si>
  <si>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</si>
  <si>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</si>
  <si>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</si>
  <si>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</si>
  <si>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</si>
  <si>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</si>
  <si>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</si>
  <si>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</si>
  <si>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</si>
  <si>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</si>
  <si>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</si>
  <si>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</si>
  <si>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</si>
  <si>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</si>
  <si>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</si>
  <si>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</si>
  <si>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</si>
  <si>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</si>
  <si>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</si>
  <si>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</si>
  <si>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</si>
  <si>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</si>
  <si>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</si>
  <si>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</si>
  <si>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</si>
  <si>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</si>
  <si>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</si>
  <si>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</si>
  <si>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</si>
  <si>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</si>
  <si>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</si>
  <si>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</si>
  <si>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</si>
  <si>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</si>
  <si>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</si>
  <si>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</si>
  <si>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</si>
  <si>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</si>
  <si>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</si>
  <si>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</si>
  <si>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</si>
  <si>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</si>
  <si>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</si>
  <si>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</si>
  <si>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</si>
  <si>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</si>
  <si>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</si>
  <si>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</si>
  <si>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</si>
  <si>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</si>
  <si>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</si>
  <si>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</si>
  <si>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</si>
  <si>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</si>
  <si>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</si>
  <si>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</si>
  <si>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</si>
  <si>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</si>
  <si>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</si>
  <si>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</si>
  <si>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</si>
  <si>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</si>
  <si>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</si>
  <si>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</si>
  <si>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</si>
  <si>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</si>
  <si>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</si>
  <si>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</si>
  <si>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</si>
  <si>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</si>
  <si>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</si>
  <si>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</si>
  <si>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</si>
  <si>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</si>
  <si>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</si>
  <si>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</si>
  <si>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</si>
  <si>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</si>
  <si>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</si>
  <si>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</si>
  <si>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</si>
  <si>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</si>
  <si>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</si>
  <si>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</si>
  <si>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</si>
  <si>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</si>
  <si>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</si>
  <si>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</si>
  <si>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</si>
  <si>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</si>
  <si>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</si>
  <si>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</si>
  <si>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</si>
  <si>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</si>
  <si>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</si>
  <si>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</si>
  <si>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</si>
  <si>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</si>
  <si>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</si>
  <si>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</si>
  <si>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</si>
  <si>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</si>
  <si>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</si>
  <si>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</si>
  <si>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</si>
  <si>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</si>
  <si>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</si>
  <si>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</si>
  <si>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</si>
  <si>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</si>
  <si>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</si>
  <si>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</si>
  <si>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</si>
  <si>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</si>
  <si>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</si>
  <si>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</si>
  <si>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</si>
  <si>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</si>
  <si>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</si>
  <si>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</si>
  <si>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</si>
  <si>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</si>
  <si>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</si>
  <si>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</si>
  <si>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</si>
  <si>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</si>
  <si>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</si>
  <si>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</si>
  <si>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</si>
  <si>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</si>
  <si>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</si>
  <si>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</si>
  <si>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</si>
  <si>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</si>
  <si>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</si>
  <si>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</si>
  <si>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</si>
  <si>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</si>
  <si>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</si>
  <si>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</si>
  <si>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</si>
  <si>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</si>
  <si>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</si>
  <si>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</si>
  <si>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</si>
  <si>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</si>
  <si>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</si>
  <si>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</si>
  <si>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</si>
  <si>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</si>
  <si>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</si>
  <si>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</si>
  <si>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</si>
  <si>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</si>
  <si>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</si>
  <si>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</si>
  <si>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</si>
  <si>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</si>
  <si>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</si>
  <si>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</si>
  <si>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</si>
  <si>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</si>
  <si>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</si>
  <si>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</si>
  <si>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</si>
  <si>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</si>
  <si>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</si>
  <si>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</si>
  <si>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</si>
  <si>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</si>
  <si>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</si>
  <si>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</si>
  <si>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</si>
  <si>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</si>
  <si>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</si>
  <si>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</si>
  <si>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</si>
  <si>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</si>
  <si>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</si>
  <si>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</si>
  <si>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</si>
  <si>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</si>
  <si>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</si>
  <si>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</si>
  <si>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</si>
  <si>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</si>
  <si>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</si>
  <si>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</si>
  <si>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</si>
  <si>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</si>
  <si>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</si>
  <si>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</si>
  <si>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</si>
  <si>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</si>
  <si>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</si>
  <si>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</si>
  <si>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</si>
  <si>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</si>
  <si>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</si>
  <si>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</si>
  <si>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</si>
  <si>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</si>
  <si>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</si>
  <si>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</si>
  <si>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</si>
  <si>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</si>
  <si>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</si>
  <si>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</si>
  <si>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</si>
  <si>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</si>
  <si>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</si>
  <si>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</si>
  <si>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</si>
  <si>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</si>
  <si>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</si>
  <si>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</si>
  <si>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</si>
  <si>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</si>
  <si>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</si>
  <si>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</si>
  <si>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</si>
  <si>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</si>
  <si>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</si>
  <si>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</si>
  <si>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</si>
  <si>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</si>
  <si>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</si>
  <si>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</si>
  <si>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</si>
  <si>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</si>
  <si>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</si>
  <si>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</si>
  <si>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</si>
  <si>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</si>
  <si>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</si>
  <si>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</si>
  <si>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</si>
  <si>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</si>
  <si>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</si>
  <si>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</si>
  <si>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</si>
  <si>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</si>
  <si>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</si>
  <si>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</si>
  <si>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</si>
  <si>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</si>
  <si>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</si>
  <si>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</si>
  <si>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</si>
  <si>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</si>
  <si>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</si>
  <si>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</si>
  <si>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</si>
  <si>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</si>
  <si>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</si>
  <si>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</si>
  <si>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</si>
  <si>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</si>
  <si>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</si>
  <si>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</si>
  <si>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</si>
  <si>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</si>
  <si>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</si>
  <si>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</si>
  <si>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</si>
  <si>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</si>
  <si>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</si>
  <si>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</si>
  <si>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</si>
  <si>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</si>
  <si>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</si>
  <si>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</si>
  <si>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</si>
  <si>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</si>
  <si>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</si>
  <si>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</si>
  <si>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</si>
  <si>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</si>
  <si>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</si>
  <si>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</si>
  <si>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</si>
  <si>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</si>
  <si>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</si>
  <si>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</si>
  <si>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</si>
  <si>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</si>
  <si>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</si>
  <si>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</si>
  <si>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</si>
  <si>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</si>
  <si>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</si>
  <si>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</si>
  <si>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</si>
  <si>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</si>
  <si>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</si>
  <si>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</si>
  <si>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</si>
  <si>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</si>
  <si>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</si>
  <si>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</si>
  <si>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</si>
  <si>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</si>
  <si>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</si>
  <si>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</si>
  <si>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</si>
  <si>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</si>
  <si>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</si>
  <si>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</si>
  <si>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</si>
  <si>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</si>
  <si>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</si>
  <si>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</si>
  <si>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</si>
  <si>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</si>
  <si>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</si>
  <si>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</si>
  <si>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</si>
  <si>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</si>
  <si>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</si>
  <si>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</si>
  <si>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</si>
  <si>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</si>
  <si>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</si>
  <si>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</si>
  <si>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</si>
  <si>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</si>
  <si>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</si>
  <si>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</si>
  <si>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</si>
  <si>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</si>
  <si>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</si>
  <si>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</si>
  <si>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</si>
  <si>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</si>
  <si>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</si>
  <si>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</si>
  <si>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</si>
  <si>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</si>
  <si>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</si>
  <si>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</si>
  <si>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</si>
  <si>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</si>
  <si>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</si>
  <si>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</si>
  <si>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</si>
  <si>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</si>
  <si>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</si>
  <si>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</si>
  <si>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</si>
  <si>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</si>
  <si>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</si>
  <si>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</si>
  <si>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</si>
  <si>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</si>
  <si>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</si>
  <si>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</si>
  <si>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</si>
  <si>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</si>
  <si>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</si>
  <si>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</si>
  <si>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</si>
  <si>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</si>
  <si>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</si>
  <si>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</si>
  <si>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</si>
  <si>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</si>
  <si>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</si>
  <si>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</si>
  <si>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</si>
  <si>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</si>
  <si>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</si>
  <si>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</si>
  <si>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</si>
  <si>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</si>
  <si>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</si>
  <si>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</si>
  <si>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</si>
  <si>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</si>
  <si>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</si>
  <si>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</si>
  <si>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</si>
  <si>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</si>
  <si>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</si>
  <si>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</si>
  <si>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</si>
  <si>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</si>
  <si>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</si>
  <si>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</si>
  <si>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</si>
  <si>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</si>
  <si>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</si>
  <si>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</si>
  <si>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</si>
  <si>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</si>
  <si>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</si>
  <si>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</si>
  <si>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</si>
  <si>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</si>
  <si>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</si>
  <si>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</si>
  <si>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</si>
  <si>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</si>
  <si>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</si>
  <si>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</si>
  <si>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</si>
  <si>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</si>
  <si>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</si>
  <si>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</si>
  <si>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</si>
  <si>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</si>
  <si>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</si>
  <si>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</si>
  <si>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</si>
  <si>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</si>
  <si>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</si>
  <si>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</si>
  <si>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</si>
  <si>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</si>
  <si>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</si>
  <si>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</si>
  <si>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</si>
  <si>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</si>
  <si>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</si>
  <si>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</si>
  <si>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</si>
  <si>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</si>
  <si>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</si>
  <si>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</si>
  <si>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</si>
  <si>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</si>
  <si>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</si>
  <si>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</si>
  <si>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</si>
  <si>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</si>
  <si>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</si>
  <si>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</si>
  <si>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</si>
  <si>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</si>
  <si>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</si>
  <si>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</si>
  <si>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</si>
  <si>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</si>
  <si>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</si>
  <si>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</si>
  <si>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</si>
  <si>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</si>
  <si>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</si>
  <si>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</si>
  <si>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</si>
  <si>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</si>
  <si>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</si>
  <si>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</si>
  <si>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</si>
  <si>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</si>
  <si>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</si>
  <si>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</si>
  <si>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</si>
  <si>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</si>
  <si>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</si>
  <si>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</si>
  <si>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</si>
  <si>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</si>
  <si>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</si>
  <si>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</si>
  <si>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</si>
  <si>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</si>
  <si>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</si>
  <si>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</si>
  <si>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</si>
  <si>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</si>
  <si>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</si>
  <si>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</si>
  <si>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</si>
  <si>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</si>
  <si>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</si>
  <si>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</si>
  <si>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</si>
  <si>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</si>
  <si>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</si>
  <si>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</si>
  <si>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</si>
  <si>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</si>
  <si>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</si>
  <si>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</si>
  <si>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</si>
  <si>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</si>
  <si>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</si>
  <si>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</si>
  <si>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</si>
  <si>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</si>
  <si>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</si>
  <si>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</si>
  <si>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</si>
  <si>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</si>
  <si>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</si>
  <si>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</si>
  <si>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</si>
  <si>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</si>
  <si>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</si>
  <si>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</si>
  <si>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</si>
  <si>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</si>
  <si>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</si>
  <si>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</si>
  <si>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</si>
  <si>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</si>
  <si>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</si>
  <si>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</si>
  <si>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</si>
  <si>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</si>
  <si>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</si>
  <si>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</si>
  <si>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</si>
  <si>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</si>
  <si>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</si>
  <si>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</si>
  <si>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</si>
  <si>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</si>
  <si>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</si>
  <si>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</si>
  <si>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</si>
  <si>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</si>
  <si>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</si>
  <si>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</si>
  <si>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</si>
  <si>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</si>
  <si>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</si>
  <si>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</si>
  <si>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</si>
  <si>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</si>
  <si>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</si>
  <si>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</si>
  <si>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</si>
  <si>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</si>
  <si>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</si>
  <si>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</si>
  <si>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</si>
  <si>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</si>
  <si>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</si>
  <si>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</si>
  <si>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</si>
  <si>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</si>
  <si>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</si>
  <si>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</si>
  <si>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</si>
  <si>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</si>
  <si>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</si>
  <si>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</si>
  <si>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</si>
  <si>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</si>
  <si>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</si>
  <si>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</si>
  <si>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</si>
  <si>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</si>
  <si>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</si>
  <si>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</si>
  <si>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</si>
  <si>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</si>
  <si>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</si>
  <si>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</si>
  <si>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</si>
  <si>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</si>
  <si>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</si>
  <si>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</si>
  <si>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</si>
  <si>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</si>
  <si>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</si>
  <si>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</si>
  <si>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</si>
  <si>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</si>
  <si>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</si>
  <si>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</si>
  <si>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</si>
  <si>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</si>
  <si>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</si>
  <si>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</si>
  <si>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</si>
  <si>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</si>
  <si>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</si>
  <si>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</si>
  <si>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</si>
  <si>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</si>
  <si>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</si>
  <si>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</si>
  <si>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</si>
  <si>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</si>
  <si>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</si>
  <si>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</si>
  <si>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</si>
  <si>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</si>
  <si>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</si>
  <si>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</si>
  <si>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</si>
  <si>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</si>
  <si>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</si>
  <si>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</si>
  <si>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</si>
  <si>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</si>
  <si>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</si>
  <si>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</si>
  <si>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</si>
  <si>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</si>
  <si>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</si>
  <si>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</si>
  <si>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</si>
  <si>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</si>
  <si>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</si>
  <si>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</si>
  <si>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</si>
  <si>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</si>
  <si>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</si>
  <si>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</si>
  <si>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</si>
  <si>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</si>
  <si>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</si>
  <si>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</si>
  <si>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</si>
  <si>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</si>
  <si>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</si>
  <si>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</si>
  <si>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</si>
  <si>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</si>
  <si>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</si>
  <si>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</si>
  <si>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</si>
  <si>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</si>
  <si>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</si>
  <si>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</si>
  <si>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</si>
  <si>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</si>
  <si>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</si>
  <si>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</si>
  <si>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</si>
  <si>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</si>
  <si>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</si>
  <si>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</si>
  <si>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</si>
  <si>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</si>
  <si>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</si>
  <si>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</si>
  <si>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</si>
  <si>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</si>
  <si>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</si>
  <si>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</si>
  <si>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</si>
  <si>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</si>
  <si>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</si>
  <si>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</si>
  <si>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</si>
  <si>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</si>
  <si>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</si>
  <si>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</si>
  <si>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</si>
  <si>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</si>
  <si>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</si>
  <si>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</si>
  <si>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</si>
  <si>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</si>
  <si>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</si>
  <si>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</si>
  <si>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</si>
  <si>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</si>
  <si>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</si>
  <si>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</si>
  <si>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</si>
  <si>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</si>
  <si>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</si>
  <si>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</si>
  <si>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</si>
  <si>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</si>
  <si>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</si>
  <si>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</si>
  <si>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</si>
  <si>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</si>
  <si>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</si>
  <si>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</si>
  <si>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</si>
  <si>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</si>
  <si>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</si>
  <si>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</si>
  <si>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</si>
  <si>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</si>
  <si>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</si>
  <si>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</si>
  <si>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</si>
  <si>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</si>
  <si>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</si>
  <si>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</si>
  <si>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</si>
  <si>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</si>
  <si>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</si>
  <si>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</si>
  <si>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</si>
  <si>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</si>
  <si>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</si>
  <si>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</si>
  <si>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</si>
  <si>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</si>
  <si>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</si>
  <si>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</si>
  <si>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</si>
  <si>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</si>
  <si>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</si>
  <si>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</si>
  <si>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</si>
  <si>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</si>
  <si>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</si>
  <si>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</si>
  <si>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</si>
  <si>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</si>
  <si>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</si>
  <si>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</si>
  <si>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</si>
  <si>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</si>
  <si>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</si>
  <si>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</si>
  <si>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</si>
  <si>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</si>
  <si>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</si>
  <si>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</si>
  <si>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</si>
  <si>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</si>
  <si>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</si>
  <si>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</si>
  <si>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</si>
  <si>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</si>
  <si>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</si>
  <si>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</si>
  <si>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</si>
  <si>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</si>
  <si>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</si>
  <si>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</si>
  <si>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</si>
  <si>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</si>
  <si>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</si>
  <si>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</si>
  <si>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</si>
  <si>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</si>
  <si>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</si>
  <si>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</si>
  <si>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</si>
  <si>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</si>
  <si>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</si>
  <si>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</si>
  <si>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</si>
  <si>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</si>
  <si>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</si>
  <si>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</si>
  <si>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</si>
  <si>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</si>
  <si>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</si>
  <si>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</si>
  <si>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</si>
  <si>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</si>
  <si>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</si>
  <si>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</si>
  <si>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</si>
  <si>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</si>
  <si>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</si>
  <si>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</si>
  <si>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</si>
  <si>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</si>
  <si>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</si>
  <si>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</si>
  <si>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</si>
  <si>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</si>
  <si>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</si>
  <si>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</si>
  <si>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</si>
  <si>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</si>
  <si>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</si>
  <si>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</si>
  <si>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</si>
  <si>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</si>
  <si>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</si>
  <si>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</si>
  <si>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</si>
  <si>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</si>
  <si>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</si>
  <si>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</si>
  <si>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</si>
  <si>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</si>
  <si>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</si>
  <si>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</si>
  <si>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</si>
  <si>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</si>
  <si>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</si>
  <si>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</si>
  <si>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</si>
  <si>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</si>
  <si>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</si>
  <si>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</si>
  <si>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</si>
  <si>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</si>
  <si>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</si>
  <si>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</si>
  <si>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</si>
  <si>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</si>
  <si>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</si>
  <si>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</si>
  <si>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</si>
  <si>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</si>
  <si>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</si>
  <si>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</si>
  <si>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</si>
  <si>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</si>
  <si>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</si>
  <si>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</si>
  <si>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</si>
  <si>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</si>
  <si>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</si>
  <si>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</si>
  <si>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</si>
  <si>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</si>
  <si>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</si>
  <si>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</si>
  <si>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</si>
  <si>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</si>
  <si>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</si>
  <si>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</si>
  <si>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</si>
  <si>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</si>
  <si>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</si>
  <si>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</si>
  <si>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</si>
  <si>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</si>
  <si>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</si>
  <si>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</si>
  <si>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</si>
  <si>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</si>
  <si>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</si>
  <si>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</si>
  <si>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</si>
  <si>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</si>
  <si>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</si>
  <si>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</si>
  <si>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</si>
  <si>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</si>
  <si>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</si>
  <si>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</si>
  <si>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</si>
  <si>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</si>
  <si>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</si>
  <si>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</si>
  <si>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</si>
  <si>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</si>
  <si>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</si>
  <si>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</si>
  <si>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</si>
  <si>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</si>
  <si>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</si>
  <si>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</si>
  <si>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</si>
  <si>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</si>
  <si>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</si>
  <si>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</si>
  <si>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</si>
  <si>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</si>
  <si>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</si>
  <si>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</si>
  <si>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</si>
  <si>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</si>
  <si>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</si>
  <si>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</si>
  <si>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</si>
  <si>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</si>
  <si>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</si>
  <si>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</si>
  <si>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</si>
  <si>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</si>
  <si>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</si>
  <si>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</si>
  <si>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</si>
  <si>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</si>
  <si>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</si>
  <si>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</si>
  <si>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</si>
  <si>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</si>
  <si>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</si>
  <si>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</si>
  <si>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</si>
  <si>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</si>
  <si>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</si>
  <si>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</si>
  <si>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</si>
  <si>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</si>
  <si>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</si>
  <si>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</si>
  <si>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</si>
  <si>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</si>
  <si>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</si>
  <si>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</si>
  <si>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</si>
  <si>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</si>
  <si>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</si>
  <si>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</si>
  <si>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</si>
  <si>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</si>
  <si>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</si>
  <si>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</si>
  <si>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</si>
  <si>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</si>
  <si>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</si>
  <si>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</si>
  <si>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</si>
  <si>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</si>
  <si>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</si>
  <si>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</si>
  <si>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</si>
  <si>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</si>
  <si>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</si>
  <si>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</si>
  <si>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</si>
  <si>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</si>
  <si>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</si>
  <si>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</si>
  <si>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</si>
  <si>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</si>
  <si>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</si>
  <si>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</si>
  <si>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</si>
  <si>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</si>
  <si>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</si>
  <si>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</si>
  <si>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</si>
  <si>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</si>
  <si>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</si>
  <si>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</si>
  <si>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</si>
  <si>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</si>
  <si>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</si>
  <si>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</si>
  <si>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</si>
  <si>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</si>
  <si>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</si>
  <si>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</si>
  <si>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</si>
  <si>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</si>
  <si>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</si>
  <si>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</si>
  <si>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</si>
  <si>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</si>
  <si>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</si>
  <si>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</si>
  <si>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</si>
  <si>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</si>
  <si>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</si>
  <si>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</si>
  <si>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</si>
  <si>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</si>
  <si>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</si>
  <si>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</si>
  <si>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</si>
  <si>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</si>
  <si>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</si>
  <si>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</si>
  <si>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</si>
  <si>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</si>
  <si>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</si>
  <si>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</si>
  <si>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</si>
  <si>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</si>
  <si>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</si>
  <si>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</si>
  <si>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</si>
  <si>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</si>
  <si>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</si>
  <si>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</si>
  <si>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</si>
  <si>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</si>
  <si>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</si>
  <si>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</si>
  <si>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</si>
  <si>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</si>
  <si>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</si>
  <si>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</si>
  <si>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</si>
  <si>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</si>
  <si>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</si>
  <si>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</si>
  <si>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</si>
  <si>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</si>
  <si>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</si>
  <si>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</si>
  <si>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</si>
  <si>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</si>
  <si>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</si>
  <si>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</si>
  <si>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</si>
  <si>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</si>
  <si>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</si>
  <si>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</si>
  <si>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</si>
  <si>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</si>
  <si>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</si>
  <si>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</si>
  <si>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</si>
  <si>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</si>
  <si>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</si>
  <si>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</si>
  <si>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</si>
  <si>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</si>
  <si>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</si>
  <si>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</si>
  <si>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</si>
  <si>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</si>
  <si>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</si>
  <si>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</si>
  <si>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</si>
  <si>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</si>
  <si>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</si>
  <si>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</si>
  <si>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</si>
  <si>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</si>
  <si>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</si>
  <si>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</si>
  <si>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</si>
  <si>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</si>
  <si>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</si>
  <si>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</si>
  <si>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</si>
  <si>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</si>
  <si>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</si>
  <si>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</si>
  <si>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</si>
  <si>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</si>
  <si>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</si>
  <si>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</si>
  <si>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</si>
  <si>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</si>
  <si>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</si>
  <si>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</si>
  <si>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</si>
  <si>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</si>
  <si>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</si>
  <si>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</si>
  <si>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</si>
  <si>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</si>
  <si>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</si>
  <si>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</si>
  <si>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</si>
  <si>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</si>
  <si>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</si>
  <si>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</si>
  <si>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</si>
  <si>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</si>
  <si>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</si>
  <si>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</si>
  <si>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</si>
  <si>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</si>
  <si>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</si>
  <si>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</si>
  <si>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</si>
  <si>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</si>
  <si>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</si>
  <si>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</si>
  <si>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</si>
  <si>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</si>
  <si>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</si>
  <si>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</si>
  <si>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</si>
  <si>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</si>
  <si>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</si>
  <si>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</si>
  <si>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</si>
  <si>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</si>
  <si>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</si>
  <si>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</si>
  <si>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</si>
  <si>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</si>
  <si>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</si>
  <si>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</si>
  <si>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</si>
  <si>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</si>
  <si>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</si>
  <si>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</si>
  <si>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</si>
  <si>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</si>
  <si>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</si>
  <si>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</si>
  <si>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</si>
  <si>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</si>
  <si>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</si>
  <si>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</si>
  <si>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</si>
  <si>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</si>
  <si>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</si>
  <si>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</si>
  <si>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</si>
  <si>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</si>
  <si>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</si>
  <si>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</si>
  <si>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</si>
  <si>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</si>
  <si>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</si>
  <si>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</si>
  <si>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</si>
  <si>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</si>
  <si>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</si>
  <si>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</si>
  <si>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</si>
  <si>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</si>
  <si>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</si>
  <si>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</si>
  <si>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</si>
  <si>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</si>
  <si>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</si>
  <si>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</si>
  <si>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</si>
  <si>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</si>
  <si>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</si>
  <si>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</si>
  <si>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</si>
  <si>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</si>
  <si>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</si>
  <si>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</si>
  <si>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</si>
  <si>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</si>
  <si>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</si>
  <si>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</si>
  <si>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</si>
  <si>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</si>
  <si>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</si>
  <si>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</si>
  <si>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</si>
  <si>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</si>
  <si>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</si>
  <si>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</si>
  <si>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</si>
  <si>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</si>
  <si>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</si>
  <si>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</si>
  <si>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</si>
  <si>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</si>
  <si>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</si>
  <si>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</si>
  <si>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</si>
  <si>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</si>
  <si>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</si>
  <si>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</si>
  <si>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</si>
  <si>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</si>
  <si>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</si>
  <si>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</si>
  <si>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</si>
  <si>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</si>
  <si>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</si>
  <si>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</si>
  <si>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</si>
  <si>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</si>
  <si>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</si>
  <si>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</si>
  <si>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</si>
  <si>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</si>
  <si>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</si>
  <si>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</si>
  <si>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</si>
  <si>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</si>
  <si>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</si>
  <si>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</si>
  <si>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</si>
  <si>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</si>
  <si>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</si>
  <si>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</si>
  <si>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</si>
  <si>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</si>
  <si>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</si>
  <si>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</si>
  <si>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</si>
  <si>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</si>
  <si>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</si>
  <si>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</si>
  <si>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</si>
  <si>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</si>
  <si>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</si>
  <si>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</si>
  <si>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</si>
  <si>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</si>
  <si>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</si>
  <si>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</si>
  <si>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</si>
  <si>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</si>
  <si>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</si>
  <si>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</si>
  <si>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</si>
  <si>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</si>
  <si>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</si>
  <si>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</si>
  <si>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</si>
  <si>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</si>
  <si>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</si>
  <si>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</si>
  <si>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</si>
  <si>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</si>
  <si>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</si>
  <si>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</si>
  <si>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</si>
  <si>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</si>
  <si>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</si>
  <si>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</si>
  <si>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</si>
  <si>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</si>
  <si>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</si>
  <si>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</si>
  <si>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</si>
  <si>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</si>
  <si>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</si>
  <si>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</si>
  <si>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</si>
  <si>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</si>
  <si>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</si>
  <si>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</si>
  <si>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</si>
  <si>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</si>
  <si>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</si>
  <si>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</si>
  <si>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</si>
  <si>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</si>
  <si>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</si>
  <si>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</si>
  <si>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</si>
  <si>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</si>
  <si>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</si>
  <si>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</si>
  <si>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</si>
  <si>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</si>
  <si>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</si>
  <si>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</si>
  <si>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</si>
  <si>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</si>
  <si>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</si>
  <si>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</si>
  <si>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</si>
  <si>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</si>
  <si>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</si>
  <si>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</si>
  <si>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</si>
  <si>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</si>
  <si>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</si>
  <si>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</si>
  <si>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</si>
  <si>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</si>
  <si>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</si>
  <si>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</si>
  <si>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</si>
  <si>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</si>
  <si>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</si>
  <si>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</si>
  <si>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</si>
  <si>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</si>
  <si>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</si>
  <si>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</si>
  <si>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</si>
  <si>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</si>
  <si>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</si>
  <si>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</si>
  <si>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</si>
  <si>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</si>
  <si>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</si>
  <si>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</si>
  <si>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</si>
  <si>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</si>
  <si>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</si>
  <si>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</si>
  <si>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</si>
  <si>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</si>
  <si>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</si>
  <si>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</si>
  <si>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</si>
  <si>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</si>
  <si>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</si>
  <si>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</si>
  <si>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</si>
  <si>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</si>
  <si>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</si>
  <si>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</si>
  <si>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</si>
  <si>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</si>
  <si>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</si>
  <si>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</si>
  <si>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</si>
  <si>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</si>
  <si>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</si>
  <si>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</si>
  <si>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</si>
  <si>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</si>
  <si>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</si>
  <si>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</si>
  <si>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</si>
  <si>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</si>
  <si>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</si>
  <si>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</si>
  <si>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</si>
  <si>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</si>
  <si>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</si>
  <si>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</si>
  <si>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</si>
  <si>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</si>
  <si>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</si>
  <si>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</si>
  <si>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</si>
  <si>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</si>
  <si>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</si>
  <si>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</si>
  <si>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</si>
  <si>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</si>
  <si>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</si>
  <si>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</si>
  <si>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</si>
  <si>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</si>
  <si>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</si>
  <si>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</si>
  <si>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</si>
  <si>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</si>
  <si>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</si>
  <si>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</si>
  <si>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</si>
  <si>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</si>
  <si>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</si>
  <si>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</si>
  <si>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</si>
  <si>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</si>
  <si>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</si>
  <si>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</si>
  <si>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</si>
  <si>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</si>
  <si>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</si>
  <si>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</si>
  <si>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</si>
  <si>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</si>
  <si>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</si>
  <si>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</si>
  <si>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</si>
  <si>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</si>
  <si>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</si>
  <si>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</si>
  <si>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</si>
  <si>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</si>
  <si>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</si>
  <si>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</si>
  <si>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</si>
  <si>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</si>
  <si>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</si>
  <si>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</si>
  <si>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</si>
  <si>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</si>
  <si>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</si>
  <si>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</si>
  <si>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</si>
  <si>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</si>
  <si>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</si>
  <si>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</si>
  <si>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</si>
  <si>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</si>
  <si>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</si>
  <si>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</si>
  <si>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</si>
  <si>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</si>
  <si>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</si>
  <si>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</si>
  <si>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</si>
  <si>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</si>
  <si>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</si>
  <si>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</si>
  <si>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</si>
  <si>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</si>
  <si>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</si>
  <si>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</si>
  <si>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</si>
  <si>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</si>
  <si>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</si>
  <si>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</si>
  <si>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</si>
  <si>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</si>
  <si>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</si>
  <si>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</si>
  <si>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</si>
  <si>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</si>
  <si>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</si>
  <si>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</si>
  <si>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</si>
  <si>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</si>
  <si>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</si>
  <si>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</si>
  <si>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</si>
  <si>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</si>
  <si>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</si>
  <si>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</si>
  <si>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</si>
  <si>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</si>
  <si>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</si>
  <si>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</si>
  <si>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</si>
  <si>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</si>
  <si>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</si>
  <si>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</si>
  <si>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</si>
  <si>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</si>
  <si>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</si>
  <si>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</si>
  <si>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</si>
  <si>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</si>
  <si>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</si>
  <si>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</si>
  <si>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</si>
  <si>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</si>
  <si>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</si>
  <si>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</si>
  <si>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</si>
  <si>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</si>
  <si>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</si>
  <si>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</si>
  <si>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</si>
  <si>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</si>
  <si>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</si>
  <si>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</si>
  <si>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</si>
  <si>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</si>
  <si>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</si>
  <si>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</si>
  <si>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</si>
  <si>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</si>
  <si>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</si>
  <si>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</si>
  <si>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</si>
  <si>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</si>
  <si>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</si>
  <si>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</si>
  <si>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</si>
  <si>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</si>
  <si>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</si>
  <si>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</si>
  <si>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</si>
  <si>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</si>
  <si>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</si>
  <si>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</si>
  <si>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</si>
  <si>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</si>
  <si>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</si>
  <si>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</si>
  <si>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</si>
  <si>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</si>
  <si>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</si>
  <si>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</si>
  <si>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</si>
  <si>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</si>
  <si>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</si>
  <si>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</si>
  <si>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</si>
  <si>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</si>
  <si>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</si>
  <si>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</si>
  <si>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</si>
  <si>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</si>
  <si>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</si>
  <si>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</si>
  <si>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</si>
  <si>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</si>
  <si>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</si>
  <si>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</si>
  <si>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</si>
  <si>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</si>
  <si>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</si>
  <si>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</si>
  <si>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</si>
  <si>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</si>
  <si>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</si>
  <si>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</si>
  <si>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</si>
  <si>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</si>
  <si>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</si>
  <si>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</si>
  <si>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</si>
  <si>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</si>
  <si>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</si>
  <si>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</si>
  <si>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</si>
  <si>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</si>
  <si>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</si>
  <si>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</si>
  <si>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</si>
  <si>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</si>
  <si>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</si>
  <si>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</si>
  <si>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</si>
  <si>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</si>
  <si>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</si>
  <si>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</si>
  <si>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</si>
  <si>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</si>
  <si>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</si>
  <si>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</si>
  <si>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</si>
  <si>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</si>
  <si>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</si>
  <si>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</si>
  <si>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</si>
  <si>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</si>
  <si>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</si>
  <si>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</si>
  <si>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</si>
  <si>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</si>
  <si>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</si>
  <si>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</si>
  <si>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</si>
  <si>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</si>
  <si>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</si>
  <si>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</si>
  <si>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</si>
  <si>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</si>
  <si>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</si>
  <si>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</si>
  <si>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</si>
  <si>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</si>
  <si>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</si>
  <si>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</si>
  <si>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</si>
  <si>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</si>
  <si>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</si>
  <si>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</si>
  <si>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</si>
  <si>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</si>
  <si>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</si>
  <si>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</si>
  <si>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</si>
  <si>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</si>
  <si>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</si>
  <si>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</si>
  <si>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</si>
  <si>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</si>
  <si>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</si>
  <si>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</si>
  <si>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</si>
  <si>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</si>
  <si>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</si>
  <si>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</si>
  <si>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</si>
  <si>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</si>
  <si>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</si>
  <si>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</si>
  <si>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</si>
  <si>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</si>
  <si>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</si>
  <si>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</si>
  <si>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</si>
  <si>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</si>
  <si>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</si>
  <si>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</si>
  <si>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</si>
  <si>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</si>
  <si>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</si>
  <si>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</si>
  <si>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</si>
  <si>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</si>
  <si>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</si>
  <si>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</si>
  <si>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</si>
  <si>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</si>
  <si>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</si>
  <si>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</si>
  <si>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</si>
  <si>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</si>
  <si>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</si>
  <si>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</si>
  <si>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</si>
  <si>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</si>
  <si>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</si>
  <si>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</si>
  <si>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</si>
  <si>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</si>
  <si>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</si>
  <si>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</si>
  <si>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</si>
  <si>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</si>
  <si>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</si>
  <si>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</si>
  <si>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</si>
  <si>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</si>
  <si>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</si>
  <si>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</si>
  <si>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</si>
  <si>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</si>
  <si>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</si>
  <si>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</si>
  <si>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</si>
  <si>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</si>
  <si>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</si>
  <si>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</si>
  <si>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</si>
  <si>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</si>
  <si>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</si>
  <si>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</si>
  <si>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</si>
  <si>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</si>
  <si>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</si>
  <si>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</si>
  <si>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</si>
  <si>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</si>
  <si>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</si>
  <si>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</si>
  <si>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</si>
  <si>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</si>
  <si>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</si>
  <si>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</si>
  <si>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</si>
  <si>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</si>
  <si>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</si>
  <si>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</si>
  <si>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</si>
  <si>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</si>
  <si>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</si>
  <si>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</si>
  <si>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</si>
  <si>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</si>
  <si>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</si>
  <si>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</si>
  <si>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</si>
  <si>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</si>
  <si>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</si>
  <si>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</si>
  <si>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</si>
  <si>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</si>
  <si>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</si>
  <si>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</si>
  <si>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</si>
  <si>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</si>
  <si>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</si>
  <si>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</si>
  <si>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</si>
  <si>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</si>
  <si>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</si>
  <si>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</si>
  <si>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</si>
  <si>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</si>
  <si>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</si>
  <si>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</si>
  <si>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</si>
  <si>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</si>
  <si>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</si>
  <si>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</si>
  <si>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</si>
  <si>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</si>
  <si>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</si>
  <si>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</si>
  <si>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</si>
  <si>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</si>
  <si>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</si>
  <si>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</si>
  <si>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</si>
  <si>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</si>
  <si>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</si>
  <si>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</si>
  <si>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</si>
  <si>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</si>
  <si>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</si>
  <si>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</si>
  <si>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</si>
  <si>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</si>
  <si>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</si>
  <si>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</si>
  <si>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</si>
  <si>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</si>
  <si>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</si>
  <si>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</si>
  <si>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</si>
  <si>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</si>
  <si>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</si>
  <si>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</si>
  <si>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</si>
  <si>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</si>
  <si>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</si>
  <si>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</si>
  <si>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</si>
  <si>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</si>
  <si>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</si>
  <si>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</si>
  <si>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</si>
  <si>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</si>
  <si>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</si>
  <si>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</si>
  <si>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</si>
  <si>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</si>
  <si>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</si>
  <si>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</si>
  <si>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</si>
  <si>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</si>
  <si>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</si>
  <si>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</si>
  <si>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</si>
  <si>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</si>
  <si>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</si>
  <si>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</si>
  <si>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</si>
  <si>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</si>
  <si>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</si>
  <si>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</si>
  <si>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</si>
  <si>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</si>
  <si>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</si>
  <si>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</si>
  <si>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</si>
  <si>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</si>
  <si>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</si>
  <si>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</si>
  <si>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</si>
  <si>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</si>
  <si>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</si>
  <si>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</si>
  <si>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</si>
  <si>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</si>
  <si>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</si>
  <si>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</si>
  <si>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</si>
  <si>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</si>
  <si>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</si>
  <si>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</si>
  <si>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</si>
  <si>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</si>
  <si>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</si>
  <si>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</si>
  <si>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</si>
  <si>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</si>
  <si>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</si>
  <si>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</si>
  <si>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</si>
  <si>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</si>
  <si>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</si>
  <si>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</si>
  <si>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</si>
  <si>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</si>
  <si>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</si>
  <si>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</si>
  <si>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</si>
  <si>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</si>
  <si>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</si>
  <si>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</si>
  <si>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</si>
  <si>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</si>
  <si>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</si>
  <si>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</si>
  <si>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</si>
  <si>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</si>
  <si>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</si>
  <si>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</si>
  <si>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</si>
  <si>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</si>
  <si>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</si>
  <si>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</si>
  <si>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</si>
  <si>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</si>
  <si>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</si>
  <si>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</si>
  <si>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</si>
  <si>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</si>
  <si>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</si>
  <si>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</si>
  <si>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</si>
  <si>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</si>
  <si>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</si>
  <si>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</si>
  <si>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</si>
  <si>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</si>
  <si>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</si>
  <si>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</si>
  <si>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</si>
  <si>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</si>
  <si>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</si>
  <si>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</si>
  <si>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</si>
  <si>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</si>
  <si>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</si>
  <si>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</si>
  <si>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</si>
  <si>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</si>
  <si>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</si>
  <si>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</si>
  <si>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</si>
  <si>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</si>
  <si>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</si>
  <si>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</si>
  <si>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</si>
  <si>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</si>
  <si>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</si>
  <si>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</si>
  <si>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</si>
  <si>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</si>
  <si>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</si>
  <si>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</si>
  <si>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</si>
  <si>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</si>
  <si>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</si>
  <si>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</si>
  <si>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</si>
  <si>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</si>
  <si>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</si>
  <si>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</si>
  <si>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</si>
  <si>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</si>
  <si>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</si>
  <si>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</si>
  <si>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</si>
  <si>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</si>
  <si>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</si>
  <si>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</si>
  <si>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</si>
  <si>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</si>
  <si>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</si>
  <si>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</si>
  <si>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</si>
  <si>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</si>
  <si>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</si>
  <si>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</si>
  <si>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</si>
  <si>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</si>
  <si>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</si>
  <si>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</si>
  <si>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</si>
  <si>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</si>
  <si>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</si>
  <si>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</si>
  <si>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</si>
  <si>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</si>
  <si>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</si>
  <si>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</si>
  <si>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</si>
  <si>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</si>
  <si>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</si>
  <si>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</si>
  <si>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</si>
  <si>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</si>
  <si>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</si>
  <si>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</si>
  <si>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</si>
  <si>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</si>
  <si>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</si>
  <si>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</si>
  <si>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</si>
  <si>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</si>
  <si>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</si>
  <si>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</si>
  <si>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</si>
  <si>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</si>
  <si>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</si>
  <si>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</si>
  <si>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</si>
  <si>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</si>
  <si>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</si>
  <si>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</si>
  <si>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</si>
  <si>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</si>
  <si>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</si>
  <si>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</si>
  <si>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</si>
  <si>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</si>
  <si>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</si>
  <si>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</si>
  <si>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</si>
  <si>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</si>
  <si>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</si>
  <si>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</si>
  <si>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</si>
  <si>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</si>
  <si>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</si>
  <si>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</si>
  <si>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</si>
  <si>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</si>
  <si>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</si>
  <si>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</si>
  <si>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</si>
  <si>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</si>
  <si>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</si>
  <si>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</si>
  <si>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</si>
  <si>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</si>
  <si>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</si>
  <si>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</si>
  <si>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</si>
  <si>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</si>
  <si>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</si>
  <si>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</si>
  <si>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</si>
  <si>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</si>
  <si>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</si>
  <si>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</si>
  <si>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</si>
  <si>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</si>
  <si>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</si>
  <si>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</si>
  <si>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</si>
  <si>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</si>
  <si>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</si>
  <si>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</si>
  <si>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</si>
  <si>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</si>
  <si>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</si>
  <si>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</si>
  <si>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</si>
  <si>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</si>
  <si>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</si>
  <si>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</si>
  <si>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</si>
  <si>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</si>
  <si>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</si>
  <si>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</si>
  <si>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</si>
  <si>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</si>
  <si>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</si>
  <si>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</si>
  <si>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</si>
  <si>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</si>
  <si>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</si>
  <si>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</si>
  <si>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</si>
  <si>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</si>
  <si>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</si>
  <si>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</si>
  <si>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</si>
  <si>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</si>
  <si>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</si>
  <si>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</si>
  <si>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</si>
  <si>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</si>
  <si>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</si>
  <si>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</si>
  <si>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</si>
  <si>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</si>
  <si>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</si>
  <si>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</si>
  <si>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</si>
  <si>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</si>
  <si>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</si>
  <si>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</si>
  <si>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</si>
  <si>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</si>
  <si>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</si>
  <si>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</si>
  <si>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</si>
  <si>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</si>
  <si>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</si>
  <si>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</si>
  <si>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</si>
  <si>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</si>
  <si>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</si>
  <si>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</si>
  <si>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</si>
  <si>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</si>
  <si>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</si>
  <si>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</si>
  <si>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</si>
  <si>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</si>
  <si>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</si>
  <si>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</si>
  <si>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</si>
  <si>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</si>
  <si>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</si>
  <si>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</si>
  <si>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</si>
  <si>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</si>
  <si>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</si>
  <si>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</si>
  <si>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</si>
  <si>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</si>
  <si>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</si>
  <si>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</si>
  <si>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</si>
  <si>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</si>
  <si>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</si>
  <si>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</si>
  <si>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</si>
  <si>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</si>
  <si>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</si>
  <si>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</si>
  <si>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</si>
  <si>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</si>
  <si>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</si>
  <si>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</si>
  <si>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</si>
  <si>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</si>
  <si>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</si>
  <si>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</si>
  <si>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</si>
  <si>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</si>
  <si>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</si>
  <si>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</si>
  <si>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</si>
  <si>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</si>
  <si>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</si>
  <si>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</si>
  <si>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</si>
  <si>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</si>
  <si>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</si>
  <si>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</si>
  <si>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</si>
  <si>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</si>
  <si>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</si>
  <si>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</si>
  <si>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</si>
  <si>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</si>
  <si>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</si>
  <si>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</si>
  <si>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</si>
  <si>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</si>
  <si>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</si>
  <si>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</si>
  <si>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</si>
  <si>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</si>
  <si>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</si>
  <si>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</si>
  <si>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</si>
  <si>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</si>
  <si>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</si>
  <si>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</si>
  <si>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</si>
  <si>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</si>
  <si>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</si>
  <si>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</si>
  <si>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</si>
  <si>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</si>
  <si>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</si>
  <si>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</si>
  <si>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</si>
  <si>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</si>
  <si>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</si>
  <si>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</si>
  <si>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</si>
  <si>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</si>
  <si>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</si>
  <si>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</si>
  <si>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</si>
  <si>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</si>
  <si>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</si>
  <si>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</si>
  <si>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</si>
  <si>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</si>
  <si>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</si>
  <si>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</si>
  <si>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</si>
  <si>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</si>
  <si>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</si>
  <si>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</si>
  <si>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</si>
  <si>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</si>
  <si>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</si>
  <si>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</si>
  <si>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</si>
  <si>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</si>
  <si>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</si>
  <si>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</si>
  <si>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</si>
  <si>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</si>
  <si>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</si>
  <si>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</si>
  <si>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</si>
  <si>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</si>
  <si>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</si>
  <si>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</si>
  <si>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</si>
  <si>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</si>
  <si>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</si>
  <si>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</si>
  <si>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</si>
  <si>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</si>
  <si>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</si>
  <si>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</si>
  <si>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</si>
  <si>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</si>
  <si>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</si>
  <si>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</si>
  <si>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</si>
  <si>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</si>
  <si>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</si>
  <si>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</si>
  <si>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</si>
  <si>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</si>
  <si>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</si>
  <si>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</si>
  <si>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</si>
  <si>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</si>
  <si>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</si>
  <si>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</si>
  <si>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</si>
  <si>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</si>
  <si>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</si>
  <si>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</si>
  <si>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</si>
  <si>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</si>
  <si>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</si>
  <si>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</si>
  <si>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</si>
  <si>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</si>
  <si>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</si>
  <si>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</si>
  <si>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</si>
  <si>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</si>
  <si>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</si>
  <si>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</si>
  <si>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</si>
  <si>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</si>
  <si>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</si>
  <si>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</si>
  <si>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</si>
  <si>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</si>
  <si>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</si>
  <si>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</si>
  <si>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</si>
  <si>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</si>
  <si>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</si>
  <si>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</si>
  <si>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</si>
  <si>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</si>
  <si>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</si>
  <si>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</si>
  <si>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</si>
  <si>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</si>
  <si>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</si>
  <si>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</si>
  <si>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</si>
  <si>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</si>
  <si>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</si>
  <si>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</si>
  <si>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</si>
  <si>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</si>
  <si>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</si>
  <si>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</si>
  <si>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</si>
  <si>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</si>
  <si>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</si>
  <si>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</si>
  <si>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</si>
  <si>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</si>
  <si>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</si>
  <si>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</si>
  <si>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</si>
  <si>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</si>
  <si>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</si>
  <si>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</si>
  <si>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</si>
  <si>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</si>
  <si>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</si>
  <si>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</si>
  <si>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</si>
  <si>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</si>
  <si>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</si>
  <si>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</si>
  <si>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</si>
  <si>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</si>
  <si>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</si>
  <si>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</si>
  <si>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</si>
  <si>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</si>
  <si>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</si>
  <si>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</si>
  <si>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</si>
  <si>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</si>
  <si>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</si>
  <si>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</si>
  <si>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</si>
  <si>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</si>
  <si>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</si>
  <si>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</si>
  <si>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</si>
  <si>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</si>
  <si>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</si>
  <si>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</si>
  <si>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</si>
  <si>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</si>
  <si>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</si>
  <si>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</si>
  <si>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</si>
  <si>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</si>
  <si>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</si>
  <si>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</si>
  <si>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</si>
  <si>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</si>
  <si>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</si>
  <si>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</si>
  <si>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</si>
  <si>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</si>
  <si>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</si>
  <si>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</si>
  <si>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</si>
  <si>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</si>
  <si>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</si>
  <si>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</si>
  <si>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</si>
  <si>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</si>
  <si>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</si>
  <si>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</si>
  <si>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</si>
  <si>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</si>
  <si>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</si>
  <si>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</si>
  <si>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</si>
  <si>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</si>
  <si>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</si>
  <si>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</si>
  <si>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</si>
  <si>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</si>
  <si>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</si>
  <si>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</si>
  <si>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</si>
  <si>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</si>
  <si>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</si>
  <si>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</si>
  <si>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</si>
  <si>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</si>
  <si>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</si>
  <si>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</si>
  <si>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</si>
  <si>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</si>
  <si>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</si>
  <si>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</si>
  <si>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</si>
  <si>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</si>
  <si>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</si>
  <si>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</si>
  <si>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</si>
  <si>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</si>
  <si>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</si>
  <si>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</si>
  <si>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</si>
  <si>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</si>
  <si>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</si>
  <si>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</si>
  <si>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</si>
  <si>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</si>
  <si>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</si>
  <si>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</si>
  <si>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</si>
  <si>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</si>
  <si>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</si>
  <si>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</si>
  <si>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</si>
  <si>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</si>
  <si>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</si>
  <si>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</si>
  <si>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</si>
  <si>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</si>
  <si>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</si>
  <si>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</si>
  <si>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</si>
  <si>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</si>
  <si>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</si>
  <si>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</si>
  <si>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</si>
  <si>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</si>
  <si>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</si>
  <si>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</si>
  <si>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</si>
  <si>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</si>
  <si>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</si>
  <si>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</si>
  <si>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</si>
  <si>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</si>
  <si>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</si>
  <si>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</si>
  <si>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</si>
  <si>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</si>
  <si>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</si>
  <si>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</si>
  <si>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</si>
  <si>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</si>
  <si>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</si>
  <si>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</si>
  <si>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</si>
  <si>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</si>
  <si>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</si>
  <si>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</si>
  <si>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</si>
  <si>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</si>
  <si>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</si>
  <si>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</si>
  <si>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</si>
  <si>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</si>
  <si>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</si>
  <si>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</si>
  <si>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</si>
  <si>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</si>
  <si>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</si>
  <si>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</si>
  <si>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</si>
  <si>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</si>
  <si>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</si>
  <si>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</si>
  <si>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</si>
  <si>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</si>
  <si>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</si>
  <si>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</si>
  <si>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</si>
  <si>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</si>
  <si>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</si>
  <si>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</si>
  <si>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</si>
  <si>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</si>
  <si>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</si>
  <si>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</si>
  <si>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</si>
  <si>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</si>
  <si>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</si>
  <si>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</si>
  <si>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</si>
  <si>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</si>
  <si>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</si>
  <si>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</si>
  <si>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</si>
  <si>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</si>
  <si>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</si>
  <si>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</si>
  <si>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</si>
  <si>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</si>
  <si>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</si>
  <si>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</si>
  <si>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</si>
  <si>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</si>
  <si>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</si>
  <si>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</si>
  <si>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</si>
  <si>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</si>
  <si>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</si>
  <si>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</si>
  <si>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</si>
  <si>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</si>
  <si>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</si>
  <si>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</si>
  <si>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</si>
  <si>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</si>
  <si>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</si>
  <si>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</si>
  <si>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</si>
  <si>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</si>
  <si>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</si>
  <si>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</si>
  <si>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</si>
  <si>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</si>
  <si>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</si>
  <si>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</si>
  <si>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</si>
  <si>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</si>
  <si>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</si>
  <si>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</si>
  <si>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</si>
  <si>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</si>
  <si>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</si>
  <si>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</si>
  <si>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</si>
  <si>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</si>
  <si>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</si>
  <si>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</si>
  <si>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</si>
  <si>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</si>
  <si>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</si>
  <si>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</si>
  <si>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</si>
  <si>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</si>
  <si>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</si>
  <si>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</si>
  <si>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</si>
  <si>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</si>
  <si>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</si>
  <si>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</si>
  <si>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</si>
  <si>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</si>
  <si>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</si>
  <si>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</si>
  <si>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</si>
  <si>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</si>
  <si>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</si>
  <si>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</si>
  <si>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</si>
  <si>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</si>
  <si>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</si>
  <si>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</si>
  <si>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</si>
  <si>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</si>
  <si>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</si>
  <si>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</si>
  <si>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</si>
  <si>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</si>
  <si>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</si>
  <si>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</si>
  <si>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</si>
  <si>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</si>
  <si>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</si>
  <si>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</si>
  <si>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</si>
  <si>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</si>
  <si>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</si>
  <si>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</si>
  <si>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</si>
  <si>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</si>
  <si>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</si>
  <si>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</si>
  <si>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</si>
  <si>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</si>
  <si>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</si>
  <si>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</si>
  <si>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</si>
  <si>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</si>
  <si>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</si>
  <si>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</si>
  <si>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</si>
  <si>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</si>
  <si>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</si>
  <si>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</si>
  <si>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</si>
  <si>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</si>
  <si>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</si>
  <si>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</si>
  <si>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</si>
  <si>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</si>
  <si>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</si>
  <si>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</si>
  <si>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</si>
  <si>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</si>
  <si>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</si>
  <si>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</si>
  <si>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</si>
  <si>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</si>
  <si>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</si>
  <si>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</si>
  <si>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</si>
  <si>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</si>
  <si>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</si>
  <si>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</si>
  <si>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</si>
  <si>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</si>
  <si>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</si>
  <si>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</si>
  <si>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</si>
  <si>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</si>
  <si>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</si>
  <si>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</si>
  <si>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</si>
  <si>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</si>
  <si>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</si>
  <si>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</si>
  <si>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</si>
  <si>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</si>
  <si>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</si>
  <si>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</si>
  <si>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</si>
  <si>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</si>
  <si>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</si>
  <si>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</si>
  <si>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</si>
  <si>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</si>
  <si>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</si>
  <si>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</si>
  <si>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</si>
  <si>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</si>
  <si>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</si>
  <si>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</si>
  <si>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</si>
  <si>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</si>
  <si>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</si>
  <si>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</si>
  <si>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</si>
  <si>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</si>
  <si>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</si>
  <si>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</si>
  <si>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</si>
  <si>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</si>
  <si>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</si>
  <si>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</si>
  <si>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</si>
  <si>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</si>
  <si>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</si>
  <si>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</si>
  <si>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</si>
  <si>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</si>
  <si>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</si>
  <si>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</si>
  <si>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</si>
  <si>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</si>
  <si>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</si>
  <si>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</si>
  <si>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</si>
  <si>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</si>
  <si>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</si>
  <si>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</si>
  <si>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</si>
  <si>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</si>
  <si>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</si>
  <si>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</si>
  <si>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</si>
  <si>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</si>
  <si>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</si>
  <si>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</si>
  <si>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</si>
  <si>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</si>
  <si>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</si>
  <si>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</si>
  <si>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</si>
  <si>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</si>
  <si>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</si>
  <si>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</si>
  <si>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</si>
  <si>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</si>
  <si>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</si>
  <si>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</si>
  <si>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</si>
  <si>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</si>
  <si>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</si>
  <si>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</si>
  <si>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</si>
  <si>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</si>
  <si>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</si>
  <si>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</si>
  <si>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</si>
  <si>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</si>
  <si>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</si>
  <si>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</si>
  <si>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</si>
  <si>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</si>
  <si>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</si>
  <si>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</si>
  <si>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</si>
  <si>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</si>
  <si>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</si>
  <si>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</si>
  <si>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</si>
  <si>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</si>
  <si>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</si>
  <si>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</si>
  <si>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</si>
  <si>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</si>
  <si>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</si>
  <si>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</si>
  <si>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</si>
  <si>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</si>
  <si>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</si>
  <si>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</si>
  <si>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</si>
  <si>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</si>
  <si>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</si>
  <si>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</si>
  <si>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</si>
  <si>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</si>
  <si>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</si>
  <si>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</si>
  <si>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</si>
  <si>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</si>
  <si>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</si>
  <si>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</si>
  <si>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</si>
  <si>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</si>
  <si>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</si>
  <si>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</si>
  <si>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</si>
  <si>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</si>
  <si>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</si>
  <si>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</si>
  <si>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</si>
  <si>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</si>
  <si>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</si>
  <si>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</si>
  <si>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</si>
  <si>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</si>
  <si>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</si>
  <si>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</si>
  <si>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</si>
  <si>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</si>
  <si>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</si>
  <si>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</si>
  <si>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</si>
  <si>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</si>
  <si>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</si>
  <si>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</si>
  <si>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</si>
  <si>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</si>
  <si>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</si>
  <si>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</si>
  <si>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</si>
  <si>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</si>
  <si>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</si>
  <si>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</si>
  <si>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</si>
  <si>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</si>
  <si>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</si>
  <si>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</si>
  <si>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</si>
  <si>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</si>
  <si>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</si>
  <si>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</si>
  <si>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</si>
  <si>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</si>
  <si>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</si>
  <si>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</si>
  <si>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</si>
  <si>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</si>
  <si>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</si>
  <si>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</si>
  <si>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</si>
  <si>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</si>
  <si>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</si>
  <si>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</si>
  <si>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</si>
  <si>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</si>
  <si>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</si>
  <si>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</si>
  <si>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</si>
  <si>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</si>
  <si>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</si>
  <si>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</si>
  <si>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</si>
  <si>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</si>
  <si>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</si>
  <si>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</si>
  <si>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</si>
  <si>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</si>
  <si>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</si>
  <si>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</si>
  <si>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</si>
  <si>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</si>
  <si>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</si>
  <si>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</si>
  <si>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</si>
  <si>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</si>
  <si>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</si>
  <si>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</si>
  <si>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</si>
  <si>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</si>
  <si>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</si>
  <si>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</si>
  <si>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</si>
  <si>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</si>
  <si>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</si>
  <si>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</si>
  <si>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</si>
  <si>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</si>
  <si>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</si>
  <si>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</si>
  <si>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</si>
  <si>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</si>
  <si>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</si>
  <si>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</si>
  <si>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</si>
  <si>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</si>
  <si>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</si>
  <si>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</si>
  <si>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</si>
  <si>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</si>
  <si>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</si>
  <si>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</si>
  <si>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</si>
  <si>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</si>
  <si>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</si>
  <si>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</si>
  <si>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</si>
  <si>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</si>
  <si>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</si>
  <si>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</si>
  <si>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</si>
  <si>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</si>
  <si>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</si>
  <si>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</si>
  <si>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</si>
  <si>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</si>
  <si>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</si>
  <si>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</si>
  <si>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</si>
  <si>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</si>
  <si>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</si>
  <si>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</si>
  <si>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</si>
  <si>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</si>
  <si>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</si>
  <si>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</si>
  <si>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</si>
  <si>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</si>
  <si>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</si>
  <si>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</si>
  <si>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</si>
  <si>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</si>
  <si>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</si>
  <si>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</si>
  <si>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</si>
  <si>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</si>
  <si>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</si>
  <si>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</si>
  <si>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</si>
  <si>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</si>
  <si>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</si>
  <si>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</si>
  <si>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</si>
  <si>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</si>
  <si>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</si>
  <si>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</si>
  <si>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</si>
  <si>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</si>
  <si>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</si>
  <si>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</si>
  <si>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</si>
  <si>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</si>
  <si>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</si>
  <si>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</si>
  <si>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</si>
  <si>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</si>
  <si>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</si>
  <si>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</si>
  <si>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</si>
  <si>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</si>
  <si>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</si>
  <si>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</si>
  <si>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</si>
  <si>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</si>
  <si>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</si>
  <si>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</si>
  <si>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</si>
  <si>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</si>
  <si>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</si>
  <si>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</si>
  <si>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</si>
  <si>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</si>
  <si>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</si>
  <si>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</si>
  <si>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</si>
  <si>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</si>
  <si>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</si>
  <si>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</si>
  <si>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</si>
  <si>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</si>
  <si>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</si>
  <si>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</si>
  <si>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</si>
  <si>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</si>
  <si>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</si>
  <si>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</si>
  <si>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</si>
  <si>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</si>
  <si>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</si>
  <si>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</si>
  <si>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</si>
  <si>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</si>
  <si>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</si>
  <si>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</si>
  <si>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</si>
  <si>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</si>
  <si>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</si>
  <si>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</si>
  <si>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</si>
  <si>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</si>
  <si>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</si>
  <si>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</si>
  <si>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</si>
  <si>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</si>
  <si>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</si>
  <si>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</si>
  <si>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</si>
  <si>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</si>
  <si>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</si>
  <si>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</si>
  <si>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</si>
  <si>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</si>
  <si>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</si>
  <si>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</si>
  <si>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</si>
  <si>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</si>
  <si>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</si>
  <si>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</si>
  <si>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</si>
  <si>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</si>
  <si>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</si>
  <si>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</si>
  <si>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</si>
  <si>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</si>
  <si>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</si>
  <si>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</si>
  <si>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</si>
  <si>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</si>
  <si>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</si>
  <si>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</si>
  <si>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</si>
  <si>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</si>
  <si>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</si>
  <si>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</si>
  <si>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</si>
  <si>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</si>
  <si>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</si>
  <si>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</si>
  <si>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</si>
  <si>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</si>
  <si>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</si>
  <si>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</si>
  <si>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</si>
  <si>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</si>
  <si>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</si>
  <si>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</si>
  <si>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</si>
  <si>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</si>
  <si>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</si>
  <si>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</si>
  <si>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</si>
  <si>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</si>
  <si>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</si>
  <si>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</si>
  <si>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</si>
  <si>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</si>
  <si>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</si>
  <si>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</si>
  <si>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</si>
  <si>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</si>
  <si>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</si>
  <si>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</si>
  <si>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</si>
  <si>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</si>
  <si>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</si>
  <si>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</si>
  <si>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</si>
  <si>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</si>
  <si>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</si>
  <si>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</si>
  <si>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</si>
  <si>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</si>
  <si>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</si>
  <si>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</si>
  <si>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</si>
  <si>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</si>
  <si>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</si>
  <si>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</si>
  <si>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</si>
  <si>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</si>
  <si>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</si>
  <si>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</si>
  <si>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</si>
  <si>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</si>
  <si>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</si>
  <si>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</si>
  <si>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</si>
  <si>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</si>
  <si>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</si>
  <si>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</si>
  <si>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</si>
  <si>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</si>
  <si>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</si>
  <si>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</si>
  <si>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</si>
  <si>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</si>
  <si>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</si>
  <si>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</si>
  <si>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</si>
  <si>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</si>
  <si>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</si>
  <si>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</si>
  <si>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</si>
  <si>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</si>
  <si>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</si>
  <si>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</si>
  <si>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</si>
  <si>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</si>
  <si>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</si>
  <si>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</si>
  <si>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</si>
  <si>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</si>
  <si>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</si>
  <si>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</si>
  <si>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</si>
  <si>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</si>
  <si>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</si>
  <si>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</si>
  <si>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</si>
  <si>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</si>
  <si>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</si>
  <si>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</si>
  <si>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</si>
  <si>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</si>
  <si>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</si>
  <si>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</si>
  <si>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</si>
  <si>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</si>
  <si>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</si>
  <si>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</si>
  <si>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</si>
  <si>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</si>
  <si>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</si>
  <si>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</si>
  <si>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</si>
  <si>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</si>
  <si>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</si>
  <si>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</si>
  <si>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</si>
  <si>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</si>
  <si>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</si>
  <si>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</si>
  <si>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</si>
  <si>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</si>
  <si>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</si>
  <si>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</si>
  <si>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</si>
  <si>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</si>
  <si>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</si>
  <si>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</si>
  <si>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</si>
  <si>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</si>
  <si>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</si>
  <si>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</si>
  <si>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</si>
  <si>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</si>
  <si>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</si>
  <si>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</si>
  <si>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</si>
  <si>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</si>
  <si>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</si>
  <si>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</si>
  <si>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</si>
  <si>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</si>
  <si>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</si>
  <si>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</si>
  <si>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</si>
  <si>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</si>
  <si>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</si>
  <si>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</si>
  <si>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</si>
  <si>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</si>
  <si>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</si>
  <si>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</si>
  <si>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</si>
  <si>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</si>
  <si>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</si>
  <si>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</si>
  <si>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</si>
  <si>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</si>
  <si>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</si>
  <si>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</si>
  <si>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</si>
  <si>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</si>
  <si>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</si>
  <si>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</si>
  <si>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</si>
  <si>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</si>
  <si>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</si>
  <si>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</si>
  <si>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</si>
  <si>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</si>
  <si>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</si>
  <si>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</si>
  <si>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</si>
  <si>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</si>
  <si>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</si>
  <si>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</si>
  <si>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</si>
  <si>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</si>
  <si>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</si>
  <si>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</si>
  <si>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</si>
  <si>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</si>
  <si>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</si>
  <si>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</si>
  <si>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</si>
  <si>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</si>
  <si>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</si>
  <si>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</si>
  <si>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</si>
  <si>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</si>
  <si>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</si>
  <si>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</si>
  <si>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</si>
  <si>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</si>
  <si>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</si>
  <si>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</si>
  <si>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</si>
  <si>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</si>
  <si>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</si>
  <si>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</si>
  <si>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</si>
  <si>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</si>
  <si>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</si>
  <si>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</si>
  <si>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</si>
  <si>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</si>
  <si>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</si>
  <si>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</si>
  <si>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</si>
  <si>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</si>
  <si>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</si>
  <si>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</si>
  <si>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</si>
  <si>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</si>
  <si>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</si>
  <si>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</si>
  <si>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</si>
  <si>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</si>
  <si>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</si>
  <si>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</si>
  <si>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</si>
  <si>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</si>
  <si>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</si>
  <si>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</si>
  <si>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</si>
  <si>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</si>
  <si>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</si>
  <si>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</si>
  <si>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</si>
  <si>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</si>
  <si>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</si>
  <si>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</si>
  <si>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</si>
  <si>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</si>
  <si>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</si>
  <si>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</si>
  <si>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</si>
  <si>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</si>
  <si>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</si>
  <si>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</si>
  <si>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</si>
  <si>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</si>
  <si>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</si>
  <si>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</si>
  <si>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</si>
  <si>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</si>
  <si>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</si>
  <si>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</si>
  <si>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</si>
  <si>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</si>
  <si>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</si>
  <si>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</si>
  <si>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</si>
  <si>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</si>
  <si>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</si>
  <si>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</si>
  <si>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</si>
  <si>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</si>
  <si>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</si>
  <si>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</si>
  <si>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</si>
  <si>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</si>
  <si>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</si>
  <si>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</si>
  <si>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</si>
  <si>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</si>
  <si>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</si>
  <si>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</si>
  <si>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</si>
  <si>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</si>
  <si>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</si>
  <si>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</si>
  <si>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</si>
  <si>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</si>
  <si>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</si>
  <si>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</si>
  <si>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</si>
  <si>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</si>
  <si>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</si>
  <si>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</si>
  <si>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</si>
  <si>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</si>
  <si>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</si>
  <si>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</si>
  <si>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</si>
  <si>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</si>
  <si>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</si>
  <si>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</si>
  <si>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</si>
  <si>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</si>
  <si>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</si>
  <si>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</si>
  <si>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</si>
  <si>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</si>
  <si>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</si>
  <si>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</si>
  <si>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</si>
  <si>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</si>
  <si>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</si>
  <si>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</si>
  <si>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</si>
  <si>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</si>
  <si>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</si>
  <si>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</si>
  <si>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</si>
  <si>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</si>
  <si>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</si>
  <si>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</si>
  <si>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</si>
  <si>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</si>
  <si>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</si>
  <si>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</si>
  <si>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</si>
  <si>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</si>
  <si>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</si>
  <si>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</si>
  <si>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</si>
  <si>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</si>
  <si>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</si>
  <si>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</si>
  <si>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</si>
  <si>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</si>
  <si>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</si>
  <si>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</si>
  <si>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</si>
  <si>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</si>
  <si>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</si>
  <si>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</si>
  <si>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</si>
  <si>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</si>
  <si>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</si>
  <si>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</si>
  <si>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</si>
  <si>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</si>
  <si>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</si>
  <si>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</si>
  <si>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</si>
  <si>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</si>
  <si>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</si>
  <si>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</si>
  <si>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</si>
  <si>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</si>
  <si>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</si>
  <si>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</si>
  <si>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</si>
  <si>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</si>
  <si>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</si>
  <si>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</si>
  <si>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</si>
  <si>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</si>
  <si>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</si>
  <si>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</si>
  <si>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</si>
  <si>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</si>
  <si>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</si>
  <si>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</si>
  <si>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</si>
  <si>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</si>
  <si>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</si>
  <si>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</si>
  <si>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</si>
  <si>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</si>
  <si>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</si>
  <si>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</si>
  <si>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</si>
  <si>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</si>
  <si>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</si>
  <si>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</si>
  <si>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</si>
  <si>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</si>
  <si>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</si>
  <si>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</si>
  <si>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</si>
  <si>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</si>
  <si>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</si>
  <si>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</si>
  <si>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</si>
  <si>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</si>
  <si>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</si>
  <si>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</si>
  <si>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</si>
  <si>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</si>
  <si>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</si>
  <si>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</si>
  <si>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</si>
  <si>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</si>
  <si>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</si>
  <si>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</si>
  <si>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</si>
  <si>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</si>
  <si>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</si>
  <si>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</si>
  <si>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</si>
  <si>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</si>
  <si>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</si>
  <si>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</si>
  <si>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</si>
  <si>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</si>
  <si>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</si>
  <si>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</si>
  <si>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</si>
  <si>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</si>
  <si>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</si>
  <si>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</si>
  <si>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</si>
  <si>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</si>
  <si>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</si>
  <si>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</si>
  <si>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</si>
  <si>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</si>
  <si>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</si>
  <si>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</si>
  <si>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</si>
  <si>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</si>
  <si>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</si>
  <si>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</si>
  <si>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</si>
  <si>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</si>
  <si>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</si>
  <si>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</si>
  <si>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</si>
  <si>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</si>
  <si>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</si>
  <si>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</si>
  <si>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</si>
  <si>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</si>
  <si>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</si>
  <si>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</si>
  <si>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</si>
  <si>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</si>
  <si>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</si>
  <si>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</si>
  <si>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</si>
  <si>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</si>
  <si>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</si>
  <si>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</si>
  <si>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</si>
  <si>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</si>
  <si>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</si>
  <si>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</si>
  <si>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</si>
  <si>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</si>
  <si>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</si>
  <si>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</si>
  <si>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</si>
  <si>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</si>
  <si>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</si>
  <si>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</si>
  <si>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</si>
  <si>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</si>
  <si>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</si>
  <si>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</si>
  <si>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</si>
  <si>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</si>
  <si>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</si>
  <si>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</si>
  <si>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</si>
  <si>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</si>
  <si>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</si>
  <si>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</si>
  <si>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</si>
  <si>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</si>
  <si>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</si>
  <si>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</si>
  <si>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</si>
  <si>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</si>
  <si>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</si>
  <si>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</si>
  <si>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</si>
  <si>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</si>
  <si>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</si>
  <si>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</si>
  <si>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</si>
  <si>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</si>
  <si>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</si>
  <si>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</si>
  <si>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</si>
  <si>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</si>
  <si>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</si>
  <si>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</si>
  <si>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</si>
  <si>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</si>
  <si>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</si>
  <si>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</si>
  <si>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</si>
  <si>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</si>
  <si>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</si>
  <si>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</si>
  <si>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</si>
  <si>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</si>
  <si>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</si>
  <si>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</si>
  <si>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</si>
  <si>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</si>
  <si>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</si>
  <si>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</si>
  <si>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</si>
  <si>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</si>
  <si>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</si>
  <si>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</si>
  <si>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</si>
  <si>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</si>
  <si>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</si>
  <si>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</si>
  <si>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</si>
  <si>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</si>
  <si>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</si>
  <si>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</si>
  <si>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</si>
  <si>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</si>
  <si>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</si>
  <si>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</si>
  <si>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</si>
  <si>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</si>
  <si>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</si>
  <si>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</si>
  <si>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</si>
  <si>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</si>
  <si>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</si>
  <si>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</si>
  <si>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</si>
  <si>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</si>
  <si>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</si>
  <si>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</si>
  <si>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</si>
  <si>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</si>
  <si>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</si>
  <si>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</si>
  <si>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</si>
  <si>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</si>
  <si>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</si>
  <si>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</si>
  <si>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</si>
  <si>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</si>
  <si>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</si>
  <si>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</si>
  <si>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</si>
  <si>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</si>
  <si>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</si>
  <si>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</si>
  <si>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</si>
  <si>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</si>
  <si>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</si>
  <si>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</si>
  <si>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</si>
  <si>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</si>
  <si>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</si>
  <si>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</si>
  <si>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</si>
  <si>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</si>
  <si>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</si>
  <si>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</si>
  <si>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</si>
  <si>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</si>
  <si>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</si>
  <si>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</si>
  <si>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</si>
  <si>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</si>
  <si>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</si>
  <si>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</si>
  <si>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</si>
  <si>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</si>
  <si>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</si>
  <si>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</si>
  <si>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</si>
  <si>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</si>
  <si>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</si>
  <si>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</si>
  <si>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</si>
  <si>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</si>
  <si>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</si>
  <si>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</si>
  <si>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</si>
  <si>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</si>
  <si>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</si>
  <si>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</si>
  <si>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</si>
  <si>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</si>
  <si>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</si>
  <si>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</si>
  <si>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</si>
  <si>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</si>
  <si>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</si>
  <si>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</si>
  <si>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</si>
  <si>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</si>
  <si>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</si>
  <si>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</si>
  <si>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</si>
  <si>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</si>
  <si>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</si>
  <si>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</si>
  <si>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</si>
  <si>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</si>
  <si>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</si>
  <si>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</si>
  <si>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</si>
  <si>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</si>
  <si>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</si>
  <si>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</si>
  <si>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</si>
  <si>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</si>
  <si>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</si>
  <si>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</si>
  <si>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</si>
  <si>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</si>
  <si>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</si>
  <si>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</si>
  <si>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</si>
  <si>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</si>
  <si>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</si>
  <si>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</si>
  <si>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</si>
  <si>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</si>
  <si>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</si>
  <si>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</si>
  <si>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</si>
  <si>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</si>
  <si>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</si>
  <si>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</si>
  <si>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</si>
  <si>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</si>
  <si>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</si>
  <si>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</si>
  <si>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</si>
  <si>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</si>
  <si>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</si>
  <si>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</si>
  <si>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</si>
  <si>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</si>
  <si>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</si>
  <si>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</si>
  <si>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</si>
  <si>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</si>
  <si>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</si>
  <si>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</si>
  <si>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</si>
  <si>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</si>
  <si>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</si>
  <si>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</si>
  <si>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</si>
  <si>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</si>
  <si>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</si>
  <si>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</si>
  <si>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</si>
  <si>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</si>
  <si>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</si>
  <si>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</si>
  <si>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</si>
  <si>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</si>
  <si>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</si>
  <si>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</si>
  <si>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</si>
  <si>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</si>
  <si>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</si>
  <si>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</si>
  <si>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</si>
  <si>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</si>
  <si>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</si>
  <si>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</si>
  <si>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</si>
  <si>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</si>
  <si>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</si>
  <si>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</si>
  <si>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</si>
  <si>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</si>
  <si>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</si>
  <si>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</si>
  <si>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</si>
  <si>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</si>
  <si>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</si>
  <si>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</si>
  <si>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</si>
  <si>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</si>
  <si>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</si>
  <si>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</si>
  <si>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</si>
  <si>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</si>
  <si>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</si>
  <si>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</si>
  <si>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</si>
  <si>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</si>
  <si>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</si>
  <si>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</si>
  <si>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</si>
  <si>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</si>
  <si>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</si>
  <si>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</si>
  <si>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</si>
  <si>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</si>
  <si>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</si>
  <si>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</si>
  <si>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</si>
  <si>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</si>
  <si>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</si>
  <si>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</si>
  <si>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</si>
  <si>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</si>
  <si>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</si>
  <si>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</si>
  <si>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</si>
  <si>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</si>
  <si>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</si>
  <si>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</si>
  <si>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</si>
  <si>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</si>
  <si>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</si>
  <si>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</si>
  <si>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</si>
  <si>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</si>
  <si>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</si>
  <si>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</si>
  <si>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</si>
  <si>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</si>
  <si>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</si>
  <si>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</si>
  <si>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</si>
  <si>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</si>
  <si>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</si>
  <si>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</si>
  <si>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</si>
  <si>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</si>
  <si>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</si>
  <si>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</si>
  <si>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</si>
  <si>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</si>
  <si>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</si>
  <si>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</si>
  <si>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</si>
  <si>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</si>
  <si>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</si>
  <si>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</si>
  <si>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</si>
  <si>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</si>
  <si>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</si>
  <si>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</si>
  <si>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</si>
  <si>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</si>
  <si>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</si>
  <si>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</si>
  <si>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</si>
  <si>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</si>
  <si>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</si>
  <si>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</si>
  <si>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</si>
  <si>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</si>
  <si>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</si>
  <si>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</si>
  <si>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</si>
  <si>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</si>
  <si>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</si>
  <si>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</si>
  <si>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</si>
  <si>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</si>
  <si>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</si>
  <si>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</si>
  <si>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</si>
  <si>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</si>
  <si>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</si>
  <si>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</si>
  <si>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</si>
  <si>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</si>
  <si>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</si>
  <si>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</si>
  <si>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</si>
  <si>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</si>
  <si>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</si>
  <si>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</si>
  <si>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</si>
  <si>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</si>
  <si>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</si>
  <si>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</si>
  <si>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</si>
  <si>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</si>
  <si>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</si>
  <si>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</si>
  <si>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</si>
  <si>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</si>
  <si>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</si>
  <si>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</si>
  <si>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</si>
  <si>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</si>
  <si>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</si>
  <si>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</si>
  <si>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</si>
  <si>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</si>
  <si>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</si>
  <si>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</si>
  <si>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</si>
  <si>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</si>
  <si>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</si>
  <si>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</si>
  <si>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</si>
  <si>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</si>
  <si>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</si>
  <si>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</si>
  <si>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</si>
  <si>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</si>
  <si>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</si>
  <si>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</si>
  <si>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</si>
  <si>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</si>
  <si>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</si>
  <si>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</si>
  <si>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</si>
  <si>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</si>
  <si>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</si>
  <si>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</si>
  <si>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</si>
  <si>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</si>
  <si>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</si>
  <si>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</si>
  <si>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</si>
  <si>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</si>
  <si>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</si>
  <si>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</si>
  <si>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</si>
  <si>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</si>
  <si>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</si>
  <si>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</si>
  <si>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</si>
  <si>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</si>
  <si>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</si>
  <si>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</si>
  <si>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</si>
  <si>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</si>
  <si>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</si>
  <si>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</si>
  <si>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</si>
  <si>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</si>
  <si>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</si>
  <si>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</si>
  <si>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</si>
  <si>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</si>
  <si>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</si>
  <si>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</si>
  <si>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</si>
  <si>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</si>
  <si>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</si>
  <si>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</si>
  <si>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</si>
  <si>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</si>
  <si>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</si>
  <si>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</si>
  <si>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</si>
  <si>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</si>
  <si>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</si>
  <si>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</si>
  <si>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</si>
  <si>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</si>
  <si>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</si>
  <si>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</si>
  <si>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</si>
  <si>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</si>
  <si>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</si>
  <si>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</si>
  <si>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</si>
  <si>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</si>
  <si>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</si>
  <si>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</si>
  <si>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</si>
  <si>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</si>
  <si>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</si>
  <si>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</si>
  <si>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</si>
  <si>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</si>
  <si>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</si>
  <si>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</si>
  <si>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</si>
  <si>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</si>
  <si>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</si>
  <si>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</si>
  <si>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</si>
  <si>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</si>
  <si>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</si>
  <si>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</si>
  <si>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</si>
  <si>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</si>
  <si>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</si>
  <si>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</si>
  <si>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</si>
  <si>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</si>
  <si>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</si>
  <si>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</si>
  <si>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</si>
  <si>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</si>
  <si>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</si>
  <si>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</si>
  <si>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</si>
  <si>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</si>
  <si>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</si>
  <si>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</si>
  <si>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</si>
  <si>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</si>
  <si>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</si>
  <si>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</si>
  <si>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</si>
  <si>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</si>
  <si>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</si>
  <si>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</si>
  <si>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</si>
  <si>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</si>
  <si>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</si>
  <si>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</si>
  <si>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</si>
  <si>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</si>
  <si>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</si>
  <si>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</si>
  <si>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</si>
  <si>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</si>
  <si>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</si>
  <si>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</si>
  <si>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</si>
  <si>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</si>
  <si>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</si>
  <si>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</si>
  <si>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</si>
  <si>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</si>
  <si>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</si>
  <si>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</si>
  <si>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</si>
  <si>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</si>
  <si>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</si>
  <si>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</si>
  <si>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</si>
  <si>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</si>
  <si>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</si>
  <si>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</si>
  <si>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</si>
  <si>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</si>
  <si>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</si>
  <si>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</si>
  <si>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</si>
  <si>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</si>
  <si>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</si>
  <si>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</si>
  <si>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</si>
  <si>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</si>
  <si>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</si>
  <si>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</si>
  <si>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</si>
  <si>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</si>
  <si>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</si>
  <si>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</si>
  <si>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</si>
  <si>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</si>
  <si>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</si>
  <si>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</si>
  <si>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</si>
  <si>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</si>
  <si>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</si>
  <si>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</si>
  <si>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</si>
  <si>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</si>
  <si>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</si>
  <si>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</si>
  <si>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</si>
  <si>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</si>
  <si>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</si>
  <si>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</si>
  <si>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</si>
  <si>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</si>
  <si>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</si>
  <si>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</si>
  <si>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</si>
  <si>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</si>
  <si>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</si>
  <si>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</si>
  <si>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</si>
  <si>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</si>
  <si>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</si>
  <si>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</si>
  <si>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</si>
  <si>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</si>
  <si>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</si>
  <si>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</si>
  <si>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</si>
  <si>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</si>
  <si>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</si>
  <si>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</si>
  <si>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</si>
  <si>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</si>
  <si>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</si>
  <si>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</si>
  <si>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</si>
  <si>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</si>
  <si>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</si>
  <si>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</si>
  <si>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</si>
  <si>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</si>
  <si>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</si>
  <si>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</si>
  <si>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</si>
  <si>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</si>
  <si>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</si>
  <si>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</si>
  <si>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</si>
  <si>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</si>
  <si>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</si>
  <si>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</si>
  <si>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</si>
  <si>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</si>
  <si>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</si>
  <si>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</si>
  <si>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</si>
  <si>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</si>
  <si>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</si>
  <si>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</si>
  <si>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</si>
  <si>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</si>
  <si>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</si>
  <si>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</si>
  <si>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</si>
  <si>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</si>
  <si>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</si>
  <si>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</si>
  <si>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</si>
  <si>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</si>
  <si>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</si>
  <si>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</si>
  <si>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</si>
  <si>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</si>
  <si>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</si>
  <si>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</si>
  <si>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</si>
  <si>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</si>
  <si>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</si>
  <si>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</si>
  <si>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</si>
  <si>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</si>
  <si>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</si>
  <si>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</si>
  <si>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</si>
  <si>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</si>
  <si>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</si>
  <si>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</si>
  <si>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</si>
  <si>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</si>
  <si>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</si>
  <si>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</si>
  <si>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</si>
  <si>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</si>
  <si>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</si>
  <si>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</si>
  <si>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</si>
  <si>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</si>
  <si>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</si>
  <si>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</si>
  <si>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</si>
  <si>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</si>
  <si>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</si>
  <si>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</si>
  <si>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</si>
  <si>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</si>
  <si>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</si>
  <si>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</si>
  <si>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</si>
  <si>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</si>
  <si>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</si>
  <si>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</si>
  <si>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</si>
  <si>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</si>
  <si>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</si>
  <si>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</si>
  <si>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</si>
  <si>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</si>
  <si>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</si>
  <si>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</si>
  <si>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</si>
  <si>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</si>
  <si>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</si>
  <si>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</si>
  <si>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</si>
  <si>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</si>
  <si>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</si>
  <si>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</si>
  <si>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</si>
  <si>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</si>
  <si>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</si>
  <si>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</si>
  <si>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</si>
  <si>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</si>
  <si>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</si>
  <si>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</si>
  <si>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</si>
  <si>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</si>
  <si>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</si>
  <si>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</si>
  <si>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</si>
  <si>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</si>
  <si>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</si>
  <si>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</si>
  <si>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</si>
  <si>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</si>
  <si>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</si>
  <si>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</si>
  <si>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</si>
  <si>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</si>
  <si>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</si>
  <si>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</si>
  <si>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</si>
  <si>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</si>
  <si>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</si>
  <si>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</si>
  <si>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</si>
  <si>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</si>
  <si>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</si>
  <si>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</si>
  <si>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</si>
  <si>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</si>
  <si>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</si>
  <si>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</si>
  <si>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</si>
  <si>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</si>
  <si>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</si>
  <si>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</si>
  <si>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</si>
  <si>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</si>
  <si>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</si>
  <si>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</si>
  <si>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</si>
  <si>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</si>
  <si>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</si>
  <si>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</si>
  <si>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</si>
  <si>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</si>
  <si>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</si>
  <si>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</si>
  <si>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</si>
  <si>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</si>
  <si>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</si>
  <si>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</si>
  <si>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</si>
  <si>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</si>
  <si>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</si>
  <si>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</si>
  <si>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</si>
  <si>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</si>
  <si>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</si>
  <si>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</si>
  <si>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</si>
  <si>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</si>
  <si>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</si>
  <si>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</si>
  <si>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</si>
  <si>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</si>
  <si>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</si>
  <si>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</si>
  <si>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</si>
  <si>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</si>
  <si>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</si>
  <si>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</si>
  <si>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</si>
  <si>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</si>
  <si>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</si>
  <si>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</si>
  <si>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</si>
  <si>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</si>
  <si>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</si>
  <si>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</si>
  <si>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</si>
  <si>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</si>
  <si>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</si>
  <si>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</si>
  <si>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</si>
  <si>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</si>
  <si>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</si>
  <si>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</si>
  <si>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</si>
  <si>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</si>
  <si>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</si>
  <si>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</si>
  <si>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</si>
  <si>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</si>
  <si>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</si>
  <si>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</si>
  <si>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</si>
  <si>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</si>
  <si>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</si>
  <si>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</si>
  <si>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</si>
  <si>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</si>
  <si>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</si>
  <si>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</si>
  <si>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</si>
  <si>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</si>
  <si>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</si>
  <si>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</si>
  <si>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</si>
  <si>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</si>
  <si>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</si>
  <si>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</si>
  <si>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</si>
  <si>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</si>
  <si>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</si>
  <si>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</si>
  <si>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</si>
  <si>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</si>
  <si>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</si>
  <si>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</si>
  <si>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</si>
  <si>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</si>
  <si>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</si>
  <si>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</si>
  <si>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</si>
  <si>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</si>
  <si>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</si>
  <si>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</si>
  <si>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</si>
  <si>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</si>
  <si>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</si>
  <si>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</si>
  <si>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</si>
  <si>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</si>
  <si>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</si>
  <si>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</si>
  <si>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</si>
  <si>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</si>
  <si>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</si>
  <si>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</si>
  <si>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</si>
  <si>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</si>
  <si>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</si>
  <si>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</si>
  <si>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</si>
  <si>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</si>
  <si>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</si>
  <si>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</si>
  <si>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</si>
  <si>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</si>
  <si>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</si>
  <si>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</si>
  <si>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</si>
  <si>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</si>
  <si>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</si>
  <si>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</si>
  <si>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</si>
  <si>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</si>
  <si>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</si>
  <si>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</si>
  <si>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</si>
  <si>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</si>
  <si>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</si>
  <si>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</si>
  <si>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</si>
  <si>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</si>
  <si>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</si>
  <si>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</si>
  <si>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</si>
  <si>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</si>
  <si>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</si>
  <si>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</si>
  <si>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</si>
  <si>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</si>
  <si>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</si>
  <si>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</si>
  <si>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</si>
  <si>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</si>
  <si>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</si>
  <si>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</si>
  <si>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</si>
  <si>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</si>
  <si>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</si>
  <si>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</si>
  <si>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</si>
  <si>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</si>
  <si>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</si>
  <si>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</si>
  <si>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</si>
  <si>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</si>
  <si>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</si>
  <si>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</si>
  <si>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</si>
  <si>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</si>
  <si>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</si>
  <si>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</si>
  <si>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</si>
  <si>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</si>
  <si>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</si>
  <si>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</si>
  <si>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</si>
  <si>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</si>
  <si>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</si>
  <si>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</si>
  <si>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</si>
  <si>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</si>
  <si>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</si>
  <si>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</si>
  <si>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</si>
  <si>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</si>
  <si>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</si>
  <si>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</si>
  <si>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</si>
  <si>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</si>
  <si>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</si>
  <si>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</si>
  <si>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</si>
  <si>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</si>
  <si>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</si>
  <si>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</si>
  <si>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</si>
  <si>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</si>
  <si>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</si>
  <si>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</si>
  <si>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</si>
  <si>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</si>
  <si>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</si>
  <si>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</si>
  <si>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</si>
  <si>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</si>
  <si>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</si>
  <si>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</si>
  <si>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</si>
  <si>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</si>
  <si>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</si>
  <si>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</si>
  <si>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</si>
  <si>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</si>
  <si>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</si>
  <si>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</si>
  <si>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</si>
  <si>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</si>
  <si>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</si>
  <si>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</si>
  <si>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</si>
  <si>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</si>
  <si>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</si>
  <si>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</si>
  <si>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</si>
  <si>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</si>
  <si>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</si>
  <si>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</si>
  <si>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</si>
  <si>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</si>
  <si>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</si>
  <si>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</si>
  <si>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</si>
  <si>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</si>
  <si>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</si>
  <si>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</si>
  <si>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</si>
  <si>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</si>
  <si>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</si>
  <si>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</si>
  <si>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</si>
  <si>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</si>
  <si>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</si>
  <si>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</si>
  <si>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</si>
  <si>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</si>
  <si>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</si>
  <si>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</si>
  <si>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</si>
  <si>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</si>
  <si>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</si>
  <si>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</si>
  <si>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</si>
  <si>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</si>
  <si>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</si>
  <si>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</si>
  <si>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</si>
  <si>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</si>
  <si>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</si>
  <si>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</si>
  <si>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</si>
  <si>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</si>
  <si>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</si>
  <si>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</si>
  <si>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</si>
  <si>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</si>
  <si>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</si>
  <si>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</si>
  <si>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</si>
  <si>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</si>
  <si>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</si>
  <si>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</si>
  <si>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</si>
  <si>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</si>
  <si>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</si>
  <si>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</si>
  <si>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</si>
  <si>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</si>
  <si>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</si>
  <si>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</si>
  <si>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</si>
  <si>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</si>
  <si>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</si>
  <si>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</si>
  <si>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</si>
  <si>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</si>
  <si>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</si>
  <si>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</si>
  <si>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</si>
  <si>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</si>
  <si>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</si>
  <si>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</si>
  <si>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</si>
  <si>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</si>
  <si>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</si>
  <si>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</si>
  <si>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</si>
  <si>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</si>
  <si>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</si>
  <si>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</si>
  <si>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</si>
  <si>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</si>
  <si>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</si>
  <si>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</si>
  <si>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</si>
  <si>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</si>
  <si>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</si>
  <si>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</si>
  <si>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</si>
  <si>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</si>
  <si>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</si>
  <si>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</si>
  <si>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</si>
  <si>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</si>
  <si>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</si>
  <si>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</si>
  <si>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</si>
  <si>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</si>
  <si>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</si>
  <si>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</si>
  <si>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</si>
  <si>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</si>
  <si>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</si>
  <si>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</si>
  <si>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</si>
  <si>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</si>
  <si>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</si>
  <si>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</si>
  <si>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</si>
  <si>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</si>
  <si>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</si>
  <si>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</si>
  <si>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</si>
  <si>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</si>
  <si>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</si>
  <si>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</si>
  <si>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</si>
  <si>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</si>
  <si>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</si>
  <si>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</si>
  <si>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</si>
  <si>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</si>
  <si>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</si>
  <si>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</si>
  <si>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</si>
  <si>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</si>
  <si>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</si>
  <si>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</si>
  <si>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</si>
  <si>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</si>
  <si>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</si>
  <si>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</si>
  <si>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</si>
  <si>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</si>
  <si>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</si>
  <si>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</si>
  <si>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</si>
  <si>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</si>
  <si>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</si>
  <si>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</si>
  <si>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</si>
  <si>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</si>
  <si>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</si>
  <si>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</si>
  <si>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</si>
  <si>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</si>
  <si>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</si>
  <si>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</si>
  <si>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</si>
  <si>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</si>
  <si>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</si>
  <si>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</si>
  <si>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</si>
  <si>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</si>
  <si>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</si>
  <si>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</si>
  <si>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</si>
  <si>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</si>
  <si>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</si>
  <si>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</si>
  <si>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</si>
  <si>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</si>
  <si>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</si>
  <si>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</si>
  <si>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</si>
  <si>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</si>
  <si>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</si>
  <si>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</si>
  <si>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</si>
  <si>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</si>
  <si>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</si>
  <si>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</si>
  <si>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</si>
  <si>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</si>
  <si>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</si>
  <si>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</si>
  <si>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</si>
  <si>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</si>
  <si>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</si>
  <si>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</si>
  <si>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</si>
  <si>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</si>
  <si>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</si>
  <si>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</si>
  <si>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</si>
  <si>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</si>
  <si>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</si>
  <si>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</si>
  <si>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</si>
  <si>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</si>
  <si>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</si>
  <si>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</si>
  <si>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</si>
  <si>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</si>
  <si>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</si>
  <si>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</si>
  <si>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</si>
  <si>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</si>
  <si>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</si>
  <si>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</si>
  <si>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</si>
  <si>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</si>
  <si>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</si>
  <si>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</si>
  <si>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</si>
  <si>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</si>
  <si>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</si>
  <si>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</si>
  <si>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</si>
  <si>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</si>
  <si>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</si>
  <si>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</si>
  <si>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</si>
  <si>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</si>
  <si>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</si>
  <si>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</si>
  <si>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</si>
  <si>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</si>
  <si>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</si>
  <si>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</si>
  <si>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</si>
  <si>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</si>
  <si>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</si>
  <si>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</si>
  <si>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</si>
  <si>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</si>
  <si>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</si>
  <si>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</si>
  <si>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</si>
  <si>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</si>
  <si>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</si>
  <si>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</si>
  <si>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</si>
  <si>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</si>
  <si>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</si>
  <si>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</si>
  <si>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</si>
  <si>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</si>
  <si>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</si>
  <si>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</si>
  <si>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</si>
  <si>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</si>
  <si>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</si>
  <si>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</si>
  <si>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</si>
  <si>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</si>
  <si>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</si>
  <si>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</si>
  <si>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</si>
  <si>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</si>
  <si>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</si>
  <si>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</si>
  <si>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</si>
  <si>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</si>
  <si>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</si>
  <si>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</si>
  <si>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</si>
  <si>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</si>
  <si>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</si>
  <si>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</si>
  <si>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</si>
  <si>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</si>
  <si>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</si>
  <si>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</si>
  <si>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</si>
  <si>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</si>
  <si>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</si>
  <si>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</si>
  <si>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</si>
  <si>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</si>
  <si>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</si>
  <si>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</si>
  <si>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</si>
  <si>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</si>
  <si>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</si>
  <si>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</si>
  <si>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</si>
  <si>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</si>
  <si>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</si>
  <si>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</si>
  <si>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</si>
  <si>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</si>
  <si>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</si>
  <si>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</si>
  <si>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</si>
  <si>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</si>
  <si>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</si>
  <si>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</si>
  <si>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</si>
  <si>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</si>
  <si>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</si>
  <si>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</si>
  <si>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</si>
  <si>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</si>
  <si>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</si>
  <si>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</si>
  <si>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</si>
  <si>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</si>
  <si>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</si>
  <si>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</si>
  <si>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</si>
  <si>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</si>
  <si>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</si>
  <si>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</si>
  <si>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</si>
  <si>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</si>
  <si>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</si>
  <si>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</si>
  <si>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</si>
  <si>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</si>
  <si>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</si>
  <si>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</si>
  <si>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</si>
  <si>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</si>
  <si>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</si>
  <si>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</si>
  <si>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</si>
  <si>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</si>
  <si>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</si>
  <si>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</si>
  <si>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</si>
  <si>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</si>
  <si>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</si>
  <si>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</si>
  <si>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</si>
  <si>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</si>
  <si>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</si>
  <si>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</si>
  <si>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</si>
  <si>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</si>
  <si>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</si>
  <si>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</si>
  <si>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</si>
  <si>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</si>
  <si>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</si>
  <si>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</si>
  <si>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</si>
  <si>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</si>
  <si>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</si>
  <si>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</si>
  <si>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</si>
  <si>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</si>
  <si>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</si>
  <si>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</si>
  <si>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</si>
  <si>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</si>
  <si>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</si>
  <si>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</si>
  <si>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</si>
  <si>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</si>
  <si>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</si>
  <si>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</si>
  <si>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</si>
  <si>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</si>
  <si>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</si>
  <si>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</si>
  <si>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</si>
  <si>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</si>
  <si>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</si>
  <si>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</si>
  <si>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</si>
  <si>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</si>
  <si>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</si>
  <si>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</si>
  <si>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</si>
  <si>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</si>
  <si>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</si>
  <si>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</si>
  <si>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</si>
  <si>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</si>
  <si>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</si>
  <si>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</si>
  <si>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</si>
  <si>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</si>
  <si>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</si>
  <si>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</si>
  <si>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</si>
  <si>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</si>
  <si>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</si>
  <si>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</si>
  <si>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</si>
  <si>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</si>
  <si>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</si>
  <si>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</si>
  <si>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</si>
  <si>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</si>
  <si>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</si>
  <si>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</si>
  <si>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</si>
  <si>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</si>
  <si>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</si>
  <si>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</si>
  <si>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</si>
  <si>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</si>
  <si>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</si>
  <si>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</si>
  <si>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</si>
  <si>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</si>
  <si>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</si>
  <si>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</si>
  <si>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</si>
  <si>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</si>
  <si>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</si>
  <si>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</si>
  <si>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</si>
  <si>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</si>
  <si>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</si>
  <si>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</si>
  <si>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</si>
  <si>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</si>
  <si>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</si>
  <si>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</si>
  <si>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</si>
  <si>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</si>
  <si>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</si>
  <si>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</si>
  <si>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</si>
  <si>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</si>
  <si>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</si>
  <si>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</si>
  <si>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</si>
  <si>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</si>
  <si>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</si>
  <si>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</si>
  <si>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</si>
  <si>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</si>
  <si>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</si>
  <si>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</si>
  <si>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</si>
  <si>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</si>
  <si>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</si>
  <si>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</si>
  <si>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</si>
  <si>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</si>
  <si>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</si>
  <si>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</si>
  <si>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</si>
  <si>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</si>
  <si>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</si>
  <si>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</si>
  <si>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</si>
  <si>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</si>
  <si>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</si>
  <si>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</si>
  <si>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</si>
  <si>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</si>
  <si>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</si>
  <si>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</si>
  <si>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</si>
  <si>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</si>
  <si>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</si>
  <si>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</si>
  <si>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</si>
  <si>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</si>
  <si>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</si>
  <si>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</si>
  <si>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</si>
  <si>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</si>
  <si>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</si>
  <si>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</si>
  <si>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</si>
  <si>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</si>
  <si>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</si>
  <si>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</si>
  <si>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</si>
  <si>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</si>
  <si>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</si>
  <si>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</si>
  <si>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</si>
  <si>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</si>
  <si>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</si>
  <si>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</si>
  <si>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</si>
  <si>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</si>
  <si>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</si>
  <si>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</si>
  <si>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</si>
  <si>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</si>
  <si>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</si>
  <si>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</si>
  <si>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</si>
  <si>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</si>
  <si>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</si>
  <si>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</si>
  <si>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</si>
  <si>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</si>
  <si>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</si>
  <si>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</si>
  <si>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</si>
  <si>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</si>
  <si>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</si>
  <si>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</si>
  <si>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</si>
  <si>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</si>
  <si>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</si>
  <si>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</si>
  <si>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</si>
  <si>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</si>
  <si>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</si>
  <si>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</si>
  <si>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</si>
  <si>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</si>
  <si>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</si>
  <si>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</si>
  <si>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</si>
  <si>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</si>
  <si>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</si>
  <si>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</si>
  <si>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</si>
  <si>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</si>
  <si>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</si>
  <si>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</si>
  <si>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</si>
  <si>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</si>
  <si>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</si>
  <si>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</si>
  <si>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</si>
  <si>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</si>
  <si>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</si>
  <si>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</si>
  <si>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</si>
  <si>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</si>
  <si>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</si>
  <si>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</si>
  <si>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</si>
  <si>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</si>
  <si>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</si>
  <si>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</si>
  <si>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</si>
  <si>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</si>
  <si>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</si>
  <si>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</si>
  <si>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</si>
  <si>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</si>
  <si>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</si>
  <si>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</si>
  <si>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</si>
  <si>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</si>
  <si>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</si>
  <si>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</si>
  <si>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</si>
  <si>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</si>
  <si>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</si>
  <si>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</si>
  <si>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</si>
  <si>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</si>
  <si>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</si>
  <si>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</si>
  <si>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</si>
  <si>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</si>
  <si>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</si>
  <si>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</si>
  <si>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</si>
  <si>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</si>
  <si>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</si>
  <si>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</si>
  <si>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</si>
  <si>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</si>
  <si>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</si>
  <si>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</si>
  <si>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</si>
  <si>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</si>
  <si>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</si>
  <si>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</si>
  <si>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</si>
  <si>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</si>
  <si>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</si>
  <si>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</si>
  <si>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</si>
  <si>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</si>
  <si>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</si>
  <si>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</si>
  <si>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</si>
  <si>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</si>
  <si>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</si>
  <si>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</si>
  <si>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</si>
  <si>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</si>
  <si>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</si>
  <si>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</si>
  <si>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</si>
  <si>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</si>
  <si>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</si>
  <si>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</si>
  <si>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</si>
  <si>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</si>
  <si>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</si>
  <si>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</si>
  <si>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</si>
  <si>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</si>
  <si>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</si>
  <si>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</si>
  <si>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</si>
  <si>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</si>
  <si>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</si>
  <si>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</si>
  <si>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</si>
  <si>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</si>
  <si>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</si>
  <si>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</si>
  <si>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</si>
  <si>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</si>
  <si>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</si>
  <si>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</si>
  <si>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</si>
  <si>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</si>
  <si>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</si>
  <si>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</si>
  <si>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</si>
  <si>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</si>
  <si>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</si>
  <si>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</si>
  <si>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</si>
  <si>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</si>
  <si>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</si>
  <si>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</si>
  <si>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</si>
  <si>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</si>
  <si>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</si>
  <si>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</si>
  <si>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</si>
  <si>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</si>
  <si>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</si>
  <si>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</si>
  <si>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</si>
  <si>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</si>
  <si>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</si>
  <si>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</si>
  <si>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</si>
  <si>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</si>
  <si>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</si>
  <si>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</si>
  <si>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</si>
  <si>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</si>
  <si>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</si>
  <si>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</si>
  <si>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</si>
  <si>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</si>
  <si>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</si>
  <si>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</si>
  <si>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</si>
  <si>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</si>
  <si>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</si>
  <si>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</si>
  <si>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</si>
  <si>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</si>
  <si>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</si>
  <si>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</si>
  <si>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</si>
  <si>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</si>
  <si>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</si>
  <si>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</si>
  <si>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</si>
  <si>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</si>
  <si>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</si>
  <si>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</si>
  <si>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</si>
  <si>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</si>
  <si>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</si>
  <si>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</si>
  <si>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</si>
  <si>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</si>
  <si>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</si>
  <si>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</si>
  <si>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</si>
  <si>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</si>
  <si>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</si>
  <si>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</si>
  <si>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</si>
  <si>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</si>
  <si>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</si>
  <si>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</si>
  <si>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</si>
  <si>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</si>
  <si>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</si>
  <si>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</si>
  <si>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</si>
  <si>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</si>
  <si>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</si>
  <si>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</si>
  <si>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</si>
  <si>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</si>
  <si>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</si>
  <si>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</si>
  <si>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</si>
  <si>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</si>
  <si>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</si>
  <si>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</si>
  <si>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</si>
  <si>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</si>
  <si>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</si>
  <si>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</si>
  <si>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</si>
  <si>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</si>
  <si>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</si>
  <si>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</si>
  <si>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</si>
  <si>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</si>
  <si>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</si>
  <si>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</si>
  <si>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</si>
  <si>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</si>
  <si>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</si>
  <si>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</si>
  <si>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</si>
  <si>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</si>
  <si>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</si>
  <si>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</si>
  <si>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</si>
  <si>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</si>
  <si>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</si>
  <si>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</si>
  <si>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</si>
  <si>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</si>
  <si>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</si>
  <si>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</si>
  <si>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</si>
  <si>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</si>
  <si>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</si>
  <si>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</si>
  <si>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</si>
  <si>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</si>
  <si>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</si>
  <si>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</si>
  <si>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</si>
  <si>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</si>
  <si>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</si>
  <si>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</si>
  <si>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</si>
  <si>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</si>
  <si>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</si>
  <si>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</si>
  <si>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</si>
  <si>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</si>
  <si>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</si>
  <si>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</si>
  <si>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</si>
  <si>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</si>
  <si>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</si>
  <si>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</si>
  <si>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</si>
  <si>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</si>
  <si>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</si>
  <si>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</si>
  <si>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</si>
  <si>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</si>
  <si>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</si>
  <si>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</si>
  <si>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</si>
  <si>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</si>
  <si>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</si>
  <si>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</si>
  <si>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</si>
  <si>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</si>
  <si>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</si>
  <si>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</si>
  <si>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</si>
  <si>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</si>
  <si>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</si>
  <si>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</si>
  <si>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</si>
  <si>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</si>
  <si>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</si>
  <si>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</si>
  <si>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</si>
  <si>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</si>
  <si>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</si>
  <si>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</si>
  <si>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</si>
  <si>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</si>
  <si>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</si>
  <si>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</si>
  <si>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</si>
  <si>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</si>
  <si>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</si>
  <si>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</si>
  <si>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</si>
  <si>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</si>
  <si>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</si>
  <si>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</si>
  <si>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</si>
  <si>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</si>
  <si>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</si>
  <si>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</si>
  <si>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</si>
  <si>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</si>
  <si>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</si>
  <si>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</si>
  <si>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</si>
  <si>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</si>
  <si>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</si>
  <si>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</si>
  <si>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</si>
  <si>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</si>
  <si>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</si>
  <si>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</si>
  <si>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</si>
  <si>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</si>
  <si>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</si>
  <si>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</si>
  <si>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</si>
  <si>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</si>
  <si>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</si>
  <si>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</si>
  <si>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</si>
  <si>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</si>
  <si>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</si>
  <si>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</si>
  <si>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</si>
  <si>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</si>
  <si>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</si>
  <si>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</si>
  <si>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</si>
  <si>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</si>
  <si>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</si>
  <si>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</si>
  <si>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</si>
  <si>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</si>
  <si>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</si>
  <si>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</si>
  <si>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</si>
  <si>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</si>
  <si>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</si>
  <si>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</si>
  <si>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</si>
  <si>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</si>
  <si>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</si>
  <si>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</si>
  <si>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</si>
  <si>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</si>
  <si>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</si>
  <si>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</si>
  <si>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</si>
  <si>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</si>
  <si>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</si>
  <si>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</si>
  <si>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</si>
  <si>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</si>
  <si>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</si>
  <si>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</si>
  <si>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</si>
  <si>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</si>
  <si>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</si>
  <si>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</si>
  <si>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</si>
  <si>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</si>
  <si>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</si>
  <si>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</si>
  <si>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</si>
  <si>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</si>
  <si>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</si>
  <si>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</si>
  <si>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</si>
  <si>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</si>
  <si>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</si>
  <si>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</si>
  <si>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</si>
  <si>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</si>
  <si>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</si>
  <si>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</si>
  <si>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</si>
  <si>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</si>
  <si>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</si>
  <si>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</si>
  <si>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</si>
  <si>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</si>
  <si>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</si>
  <si>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</si>
  <si>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</si>
  <si>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</si>
  <si>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</si>
  <si>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</si>
  <si>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</si>
  <si>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</si>
  <si>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</si>
  <si>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</si>
  <si>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</si>
  <si>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</si>
  <si>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</si>
  <si>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</si>
  <si>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</si>
  <si>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</si>
  <si>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</si>
  <si>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</si>
  <si>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</si>
  <si>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</si>
  <si>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</si>
  <si>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</si>
  <si>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</si>
  <si>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</si>
  <si>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</si>
  <si>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</si>
  <si>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</si>
  <si>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</si>
  <si>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</si>
  <si>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</si>
  <si>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</si>
  <si>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</si>
  <si>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</si>
  <si>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</si>
  <si>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</si>
  <si>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</si>
  <si>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</si>
  <si>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</si>
  <si>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</si>
  <si>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</si>
  <si>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</si>
  <si>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</si>
  <si>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</si>
  <si>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</si>
  <si>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</si>
  <si>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</si>
  <si>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</si>
  <si>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</si>
  <si>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</si>
  <si>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</si>
  <si>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</si>
  <si>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</si>
  <si>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</si>
  <si>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</si>
  <si>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</si>
  <si>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</si>
  <si>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</si>
  <si>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</si>
  <si>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</si>
  <si>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</si>
  <si>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</si>
  <si>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</si>
  <si>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</si>
  <si>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</si>
  <si>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</si>
  <si>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</si>
  <si>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</si>
  <si>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</si>
  <si>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</si>
  <si>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</si>
  <si>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</si>
  <si>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</si>
  <si>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</si>
  <si>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</si>
  <si>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</si>
  <si>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</si>
  <si>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</si>
  <si>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</si>
  <si>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</si>
  <si>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</si>
  <si>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</si>
  <si>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</si>
  <si>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</si>
  <si>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</si>
  <si>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</si>
  <si>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</si>
  <si>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</si>
  <si>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</si>
  <si>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</si>
  <si>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</si>
  <si>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</si>
  <si>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</si>
  <si>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</si>
  <si>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</si>
  <si>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</si>
  <si>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</si>
  <si>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</si>
  <si>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</si>
  <si>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</si>
  <si>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</si>
  <si>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</si>
  <si>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</si>
  <si>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</si>
  <si>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</si>
  <si>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</si>
  <si>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</si>
  <si>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</si>
  <si>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</si>
  <si>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</si>
  <si>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</si>
  <si>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</si>
  <si>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</si>
  <si>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</si>
  <si>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</si>
  <si>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</si>
  <si>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</si>
  <si>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</si>
  <si>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</si>
  <si>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</si>
  <si>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</si>
  <si>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</si>
  <si>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</si>
  <si>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</si>
  <si>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</si>
  <si>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</si>
  <si>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</si>
  <si>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</si>
  <si>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</si>
  <si>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</si>
  <si>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</si>
  <si>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</si>
  <si>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</si>
  <si>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</si>
  <si>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</si>
  <si>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</si>
  <si>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</si>
  <si>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</si>
  <si>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</si>
  <si>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</si>
  <si>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</si>
  <si>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</si>
  <si>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</si>
  <si>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</si>
  <si>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</si>
  <si>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</si>
  <si>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</si>
  <si>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</si>
  <si>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</si>
  <si>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</si>
  <si>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</si>
  <si>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</si>
  <si>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</si>
  <si>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</si>
  <si>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</si>
  <si>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</si>
  <si>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</si>
  <si>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</si>
  <si>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</si>
  <si>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</si>
  <si>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</si>
  <si>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</si>
  <si>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</si>
  <si>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</si>
  <si>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</si>
  <si>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</si>
  <si>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</si>
  <si>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</si>
  <si>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</si>
  <si>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</si>
  <si>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</si>
  <si>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</si>
  <si>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</si>
  <si>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</si>
  <si>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</si>
  <si>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</si>
  <si>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</si>
  <si>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</si>
  <si>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</si>
  <si>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</si>
  <si>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</si>
  <si>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</si>
  <si>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</si>
  <si>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</si>
  <si>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</si>
  <si>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</si>
  <si>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</si>
  <si>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</si>
  <si>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</si>
  <si>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</si>
  <si>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</si>
  <si>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</si>
  <si>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</si>
  <si>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</si>
  <si>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</si>
  <si>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</si>
  <si>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</si>
  <si>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</si>
  <si>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</si>
  <si>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</si>
  <si>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</si>
  <si>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</si>
  <si>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</si>
  <si>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</si>
  <si>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</si>
  <si>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</si>
  <si>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</si>
  <si>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</si>
  <si>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</si>
  <si>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</si>
  <si>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</si>
  <si>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</si>
  <si>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</si>
  <si>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</si>
  <si>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</si>
  <si>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</si>
  <si>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</si>
  <si>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</si>
  <si>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</si>
  <si>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</si>
  <si>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</si>
  <si>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</si>
  <si>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</si>
  <si>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</si>
  <si>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</si>
  <si>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</si>
  <si>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</si>
  <si>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</si>
  <si>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</si>
  <si>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</si>
  <si>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</si>
  <si>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</si>
  <si>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</si>
  <si>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</si>
  <si>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</si>
  <si>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</si>
  <si>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</si>
  <si>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</si>
  <si>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</si>
  <si>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</si>
  <si>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</si>
  <si>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</si>
  <si>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</si>
  <si>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</si>
  <si>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</si>
  <si>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</si>
  <si>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</si>
  <si>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</si>
  <si>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</si>
  <si>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</si>
  <si>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</si>
  <si>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</si>
  <si>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</si>
  <si>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</si>
  <si>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</si>
  <si>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</si>
  <si>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</si>
  <si>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</si>
  <si>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</si>
  <si>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</si>
  <si>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</si>
  <si>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</si>
  <si>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</si>
  <si>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</si>
  <si>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</si>
  <si>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</si>
  <si>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</si>
  <si>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</si>
  <si>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</si>
  <si>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</si>
  <si>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</si>
  <si>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</si>
  <si>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</si>
  <si>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</si>
  <si>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</si>
  <si>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</si>
  <si>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</si>
  <si>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</si>
  <si>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</si>
  <si>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</si>
  <si>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</si>
  <si>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</si>
  <si>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</si>
  <si>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</si>
  <si>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</si>
  <si>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</si>
  <si>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</si>
  <si>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</si>
  <si>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</si>
  <si>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</si>
  <si>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</si>
  <si>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</si>
  <si>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</si>
  <si>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</si>
  <si>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</si>
  <si>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</si>
  <si>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</si>
  <si>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</si>
  <si>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</si>
  <si>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</si>
  <si>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</si>
  <si>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</si>
  <si>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</si>
  <si>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</si>
  <si>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</si>
  <si>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</si>
  <si>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</si>
  <si>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</si>
  <si>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</si>
  <si>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</si>
  <si>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</si>
  <si>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</si>
  <si>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</si>
  <si>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</si>
  <si>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</si>
  <si>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</si>
  <si>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</si>
  <si>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</si>
  <si>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</si>
  <si>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</si>
  <si>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</si>
  <si>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</si>
  <si>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</si>
  <si>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</si>
  <si>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</si>
  <si>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</si>
  <si>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</si>
  <si>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</si>
  <si>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</si>
  <si>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</si>
  <si>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</si>
  <si>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</si>
  <si>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</si>
  <si>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</si>
  <si>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</si>
  <si>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</si>
  <si>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</si>
  <si>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</si>
  <si>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</si>
  <si>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</si>
  <si>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</si>
  <si>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</si>
  <si>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</si>
  <si>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</si>
  <si>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</si>
  <si>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</si>
  <si>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</si>
  <si>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</si>
  <si>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</si>
  <si>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</si>
  <si>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</si>
  <si>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</si>
  <si>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</si>
  <si>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</si>
  <si>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</si>
  <si>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</si>
  <si>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</si>
  <si>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</si>
  <si>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</si>
  <si>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</si>
  <si>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</si>
  <si>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</si>
  <si>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</si>
  <si>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</si>
  <si>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</si>
  <si>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</si>
  <si>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</si>
  <si>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</si>
  <si>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</si>
  <si>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</si>
  <si>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</si>
  <si>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</si>
  <si>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</si>
  <si>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</si>
  <si>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</si>
  <si>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</si>
  <si>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</si>
  <si>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</si>
  <si>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</si>
  <si>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</si>
  <si>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</si>
  <si>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</si>
  <si>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</si>
  <si>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</si>
  <si>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</si>
  <si>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</si>
  <si>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</si>
  <si>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</si>
  <si>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</si>
  <si>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</si>
  <si>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</si>
  <si>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</si>
  <si>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</si>
  <si>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</si>
  <si>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</si>
  <si>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</si>
  <si>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</si>
  <si>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</si>
  <si>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</si>
  <si>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</si>
  <si>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</si>
  <si>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</si>
  <si>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</si>
  <si>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</si>
  <si>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</si>
  <si>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</si>
  <si>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</si>
  <si>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</si>
  <si>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</si>
  <si>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</si>
  <si>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</si>
  <si>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</si>
  <si>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</si>
  <si>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</si>
  <si>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</si>
  <si>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</si>
  <si>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</si>
  <si>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</si>
  <si>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</si>
  <si>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</si>
  <si>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</si>
  <si>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</si>
  <si>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</si>
  <si>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</si>
  <si>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</si>
  <si>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</si>
  <si>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</si>
  <si>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</si>
  <si>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</si>
  <si>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</si>
  <si>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</si>
  <si>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</si>
  <si>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</si>
  <si>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</si>
  <si>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</si>
  <si>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</si>
  <si>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</si>
  <si>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</si>
  <si>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</si>
  <si>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</si>
  <si>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</si>
  <si>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</si>
  <si>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</si>
  <si>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</si>
  <si>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</si>
  <si>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</si>
  <si>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</si>
  <si>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</si>
  <si>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</si>
  <si>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</si>
  <si>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</si>
  <si>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</si>
  <si>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</si>
  <si>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</si>
  <si>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</si>
  <si>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</si>
  <si>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</si>
  <si>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</si>
  <si>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</si>
  <si>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</si>
  <si>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</si>
  <si>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</si>
  <si>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</si>
  <si>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</si>
  <si>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</si>
  <si>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</si>
  <si>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</si>
  <si>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</si>
  <si>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</si>
  <si>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</si>
  <si>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</si>
  <si>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</si>
  <si>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</si>
  <si>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</si>
  <si>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</si>
  <si>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</si>
  <si>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</si>
  <si>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</si>
  <si>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</si>
  <si>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</si>
  <si>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</si>
  <si>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</si>
  <si>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</si>
  <si>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</si>
  <si>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</si>
  <si>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</si>
  <si>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</si>
  <si>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</si>
  <si>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</si>
  <si>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</si>
  <si>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</si>
  <si>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</si>
  <si>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</si>
  <si>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</si>
  <si>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</si>
  <si>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</si>
  <si>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</si>
  <si>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</si>
  <si>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</si>
  <si>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</si>
  <si>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</si>
  <si>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</si>
  <si>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</si>
  <si>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</si>
  <si>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</si>
  <si>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</si>
  <si>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</si>
  <si>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</si>
  <si>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</si>
  <si>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</si>
  <si>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</si>
  <si>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</si>
  <si>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</si>
  <si>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</si>
  <si>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</si>
  <si>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</si>
  <si>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</si>
  <si>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</si>
  <si>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</si>
  <si>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</si>
  <si>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</si>
  <si>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</si>
  <si>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</si>
  <si>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</si>
  <si>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</si>
  <si>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</si>
  <si>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</si>
  <si>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</si>
  <si>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</si>
  <si>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</si>
  <si>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</si>
  <si>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</si>
  <si>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</si>
  <si>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</si>
  <si>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</si>
  <si>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</si>
  <si>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</si>
  <si>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</si>
  <si>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</si>
  <si>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</si>
  <si>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</si>
  <si>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</si>
  <si>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</si>
  <si>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</si>
  <si>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</si>
  <si>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</si>
  <si>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</si>
  <si>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</si>
  <si>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</si>
  <si>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</si>
  <si>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</si>
  <si>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</si>
  <si>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</si>
  <si>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</si>
  <si>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</si>
  <si>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</si>
  <si>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</si>
  <si>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</si>
  <si>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</si>
  <si>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</si>
  <si>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</si>
  <si>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</si>
  <si>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</si>
  <si>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</si>
  <si>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</si>
  <si>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</si>
  <si>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</si>
  <si>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</si>
  <si>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</si>
  <si>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</si>
  <si>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</si>
  <si>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</si>
  <si>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</si>
  <si>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</si>
  <si>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</si>
  <si>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</si>
  <si>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</si>
  <si>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</si>
  <si>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</si>
  <si>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</si>
  <si>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</si>
  <si>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</si>
  <si>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</si>
  <si>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</si>
  <si>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</si>
  <si>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</si>
  <si>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</si>
  <si>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</si>
  <si>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</si>
  <si>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</si>
  <si>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</si>
  <si>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</si>
  <si>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</si>
  <si>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</si>
  <si>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</si>
  <si>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</si>
  <si>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</si>
  <si>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</si>
  <si>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</si>
  <si>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</si>
  <si>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</si>
  <si>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</si>
  <si>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</si>
  <si>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</si>
  <si>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</si>
  <si>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</si>
  <si>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</si>
  <si>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</si>
  <si>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</si>
  <si>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</si>
  <si>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</si>
  <si>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</si>
  <si>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</si>
  <si>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</si>
  <si>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</si>
  <si>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</si>
  <si>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</si>
  <si>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</si>
  <si>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</si>
  <si>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</si>
  <si>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</si>
  <si>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</si>
  <si>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</si>
  <si>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</si>
  <si>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</si>
  <si>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</si>
  <si>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</si>
  <si>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</si>
  <si>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</si>
  <si>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</si>
  <si>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</si>
  <si>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</si>
  <si>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</si>
  <si>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</si>
  <si>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</si>
  <si>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</si>
  <si>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</si>
  <si>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</si>
  <si>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</si>
  <si>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</si>
  <si>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</si>
  <si>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</si>
  <si>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</si>
  <si>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</si>
  <si>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</si>
  <si>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</si>
  <si>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</si>
  <si>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</si>
  <si>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</si>
  <si>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</si>
  <si>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</si>
  <si>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</si>
  <si>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</si>
  <si>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</si>
  <si>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</si>
  <si>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</si>
  <si>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</si>
  <si>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</si>
  <si>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</si>
  <si>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</si>
  <si>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</si>
  <si>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</si>
  <si>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</si>
  <si>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</si>
  <si>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</si>
  <si>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</si>
  <si>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</si>
  <si>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</si>
  <si>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</si>
  <si>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</si>
  <si>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</si>
  <si>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</si>
  <si>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</si>
  <si>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</si>
  <si>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</si>
  <si>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</si>
  <si>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</si>
  <si>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</si>
  <si>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</si>
  <si>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</si>
  <si>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</si>
  <si>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</si>
  <si>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</si>
  <si>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</si>
  <si>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</si>
  <si>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</si>
  <si>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</si>
  <si>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</si>
  <si>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</si>
  <si>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</si>
  <si>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</si>
  <si>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</si>
  <si>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</si>
  <si>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</si>
  <si>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</si>
  <si>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</si>
  <si>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</si>
  <si>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</si>
  <si>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</si>
  <si>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</si>
  <si>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</si>
  <si>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</si>
  <si>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</si>
  <si>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</si>
  <si>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</si>
  <si>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</si>
  <si>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</si>
  <si>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</si>
  <si>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</si>
  <si>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</si>
  <si>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</si>
  <si>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</si>
  <si>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</si>
  <si>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</si>
  <si>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</si>
  <si>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</si>
  <si>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</si>
  <si>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</si>
  <si>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</si>
  <si>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</si>
  <si>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</si>
  <si>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</si>
  <si>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</si>
  <si>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</si>
  <si>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</si>
  <si>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</si>
  <si>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</si>
  <si>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</si>
  <si>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</si>
  <si>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</si>
  <si>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</si>
  <si>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</si>
  <si>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</si>
  <si>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</si>
  <si>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</si>
  <si>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</si>
  <si>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</si>
  <si>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</si>
  <si>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</si>
  <si>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</si>
  <si>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</si>
  <si>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</si>
  <si>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</si>
  <si>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</si>
  <si>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</si>
  <si>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</si>
  <si>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</si>
  <si>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</si>
  <si>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</si>
  <si>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</si>
  <si>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</si>
  <si>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</si>
  <si>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</si>
  <si>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</si>
  <si>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</si>
  <si>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</si>
  <si>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</si>
  <si>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</si>
  <si>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</si>
  <si>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</si>
  <si>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</si>
  <si>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</si>
  <si>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</si>
  <si>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</si>
  <si>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</si>
  <si>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</si>
  <si>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</si>
  <si>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</si>
  <si>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</si>
  <si>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</si>
  <si>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</si>
  <si>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</si>
  <si>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</si>
  <si>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</si>
  <si>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</si>
  <si>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</si>
  <si>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</si>
  <si>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</si>
  <si>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</si>
  <si>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</si>
  <si>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</si>
  <si>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</si>
  <si>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</si>
  <si>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</si>
  <si>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</si>
  <si>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</si>
  <si>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</si>
  <si>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</si>
  <si>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</si>
  <si>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</si>
  <si>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</si>
  <si>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</si>
  <si>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</si>
  <si>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</si>
  <si>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</si>
  <si>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</si>
  <si>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</si>
  <si>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</si>
  <si>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</si>
  <si>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</si>
  <si>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</si>
  <si>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</si>
  <si>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</si>
  <si>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</si>
  <si>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</si>
  <si>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</si>
  <si>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</si>
  <si>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</si>
  <si>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</si>
  <si>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</si>
  <si>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</si>
  <si>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</si>
  <si>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</si>
  <si>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</si>
  <si>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</si>
  <si>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</si>
  <si>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</si>
  <si>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</si>
  <si>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</si>
  <si>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</si>
  <si>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</si>
  <si>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</si>
  <si>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</si>
  <si>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</si>
  <si>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</si>
  <si>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</si>
  <si>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</si>
  <si>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</si>
  <si>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</si>
  <si>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</si>
  <si>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</si>
  <si>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</si>
  <si>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</si>
  <si>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</si>
  <si>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</si>
  <si>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</si>
  <si>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</si>
  <si>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</si>
  <si>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</si>
  <si>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</si>
  <si>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</si>
  <si>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</si>
  <si>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</si>
  <si>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</si>
  <si>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</si>
  <si>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</si>
  <si>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</si>
  <si>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</si>
  <si>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</si>
  <si>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</si>
  <si>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</si>
  <si>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</si>
  <si>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</si>
  <si>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</si>
  <si>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</si>
  <si>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</si>
  <si>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</si>
  <si>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</si>
  <si>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</si>
  <si>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</si>
  <si>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</si>
  <si>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</si>
  <si>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</si>
  <si>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</si>
  <si>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</si>
  <si>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</si>
  <si>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</si>
  <si>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</si>
  <si>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</si>
  <si>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</si>
  <si>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</si>
  <si>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</si>
  <si>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</si>
  <si>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</si>
  <si>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</si>
  <si>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</si>
  <si>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</si>
  <si>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</si>
  <si>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</si>
  <si>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</si>
  <si>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</si>
  <si>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</si>
  <si>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</si>
  <si>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</si>
  <si>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</si>
  <si>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</si>
  <si>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</si>
  <si>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</si>
  <si>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</si>
  <si>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</si>
  <si>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</si>
  <si>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</si>
  <si>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</si>
  <si>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</si>
  <si>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</si>
  <si>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</si>
  <si>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</si>
  <si>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</si>
  <si>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</si>
  <si>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</si>
  <si>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</si>
  <si>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</si>
  <si>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</si>
  <si>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</si>
  <si>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</si>
  <si>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</si>
  <si>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</si>
  <si>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</si>
  <si>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</si>
  <si>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</si>
  <si>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</si>
  <si>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</si>
  <si>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</si>
  <si>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</si>
  <si>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</si>
  <si>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</si>
  <si>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</si>
  <si>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</si>
  <si>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</si>
  <si>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</si>
  <si>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</si>
  <si>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</si>
  <si>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</si>
  <si>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</si>
  <si>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</si>
  <si>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</si>
  <si>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</si>
  <si>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</si>
  <si>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</si>
  <si>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</si>
  <si>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</si>
  <si>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</si>
  <si>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</si>
  <si>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</si>
  <si>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</si>
  <si>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</si>
  <si>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</si>
  <si>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</si>
  <si>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</si>
  <si>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</si>
  <si>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</si>
  <si>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</si>
  <si>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</si>
  <si>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</si>
  <si>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</si>
  <si>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</si>
  <si>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</si>
  <si>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</si>
  <si>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</si>
  <si>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</si>
  <si>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</si>
  <si>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</si>
  <si>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</si>
  <si>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</si>
  <si>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</si>
  <si>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</si>
  <si>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</si>
  <si>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</si>
  <si>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</si>
  <si>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</si>
  <si>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</si>
  <si>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</si>
  <si>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</si>
  <si>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</si>
  <si>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</si>
  <si>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</si>
  <si>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</si>
  <si>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</si>
  <si>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</si>
  <si>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</si>
  <si>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</si>
  <si>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</si>
  <si>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</si>
  <si>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</si>
  <si>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</si>
  <si>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</si>
  <si>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</si>
  <si>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</si>
  <si>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</si>
  <si>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</si>
  <si>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</si>
  <si>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</si>
  <si>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</si>
  <si>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</si>
  <si>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</si>
  <si>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</si>
  <si>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</si>
  <si>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</si>
  <si>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</si>
  <si>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</si>
  <si>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</si>
  <si>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</si>
  <si>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</si>
  <si>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</si>
  <si>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</si>
  <si>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</si>
  <si>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</si>
  <si>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</si>
  <si>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</si>
  <si>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</si>
  <si>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</si>
  <si>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</si>
  <si>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</si>
  <si>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</si>
  <si>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</si>
  <si>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</si>
  <si>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</si>
  <si>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</si>
  <si>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</si>
  <si>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</si>
  <si>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</si>
  <si>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</si>
  <si>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</si>
  <si>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</si>
  <si>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</si>
  <si>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</si>
  <si>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</si>
  <si>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</si>
  <si>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</si>
  <si>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</si>
  <si>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</si>
  <si>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</si>
  <si>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</si>
  <si>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</si>
  <si>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</si>
  <si>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</si>
  <si>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</si>
  <si>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</si>
  <si>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</si>
  <si>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</si>
  <si>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</si>
  <si>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</si>
  <si>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</si>
  <si>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</si>
  <si>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</si>
  <si>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</si>
  <si>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</si>
  <si>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</si>
  <si>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</si>
  <si>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</si>
  <si>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</si>
  <si>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</si>
  <si>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</si>
  <si>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</si>
  <si>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</si>
  <si>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</si>
  <si>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</si>
  <si>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</si>
  <si>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</si>
  <si>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</si>
  <si>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</si>
  <si>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</si>
  <si>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</si>
  <si>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</si>
  <si>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</si>
  <si>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</si>
  <si>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</si>
  <si>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</si>
  <si>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</si>
  <si>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</si>
  <si>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</si>
  <si>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</si>
  <si>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</si>
  <si>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</si>
  <si>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</si>
  <si>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</si>
  <si>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</si>
  <si>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</si>
  <si>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</si>
  <si>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</si>
  <si>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</si>
  <si>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</si>
  <si>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</si>
  <si>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</si>
  <si>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</si>
  <si>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</si>
  <si>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</si>
  <si>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</si>
  <si>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</si>
  <si>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</si>
  <si>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</si>
  <si>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</si>
  <si>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</si>
  <si>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</si>
  <si>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</si>
  <si>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</si>
  <si>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</si>
  <si>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</si>
  <si>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</si>
  <si>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</si>
  <si>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</si>
  <si>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</si>
  <si>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</si>
  <si>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</si>
  <si>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</si>
  <si>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</si>
  <si>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</si>
  <si>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</si>
  <si>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</si>
  <si>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</si>
  <si>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</si>
  <si>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</si>
  <si>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</si>
  <si>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</si>
  <si>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</si>
  <si>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</si>
  <si>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</si>
  <si>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</si>
  <si>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</si>
  <si>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</si>
  <si>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</si>
  <si>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</si>
  <si>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</si>
  <si>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</si>
  <si>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</si>
  <si>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</si>
  <si>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</si>
  <si>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</si>
  <si>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</si>
  <si>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</si>
  <si>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</si>
  <si>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</si>
  <si>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</si>
  <si>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</si>
  <si>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</si>
  <si>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</si>
  <si>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</si>
  <si>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</si>
  <si>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</si>
  <si>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</si>
  <si>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</si>
  <si>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</si>
  <si>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</si>
  <si>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</si>
  <si>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</si>
  <si>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</si>
  <si>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</si>
  <si>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</si>
  <si>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</si>
  <si>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</si>
  <si>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</si>
  <si>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</si>
  <si>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</si>
  <si>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</si>
  <si>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</si>
  <si>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</si>
  <si>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</si>
  <si>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</si>
  <si>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</si>
  <si>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</si>
  <si>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</si>
  <si>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</si>
  <si>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</si>
  <si>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</si>
  <si>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</si>
  <si>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</si>
  <si>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</si>
  <si>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</si>
  <si>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</si>
  <si>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</si>
  <si>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</si>
  <si>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</si>
  <si>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</si>
  <si>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</si>
  <si>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</si>
  <si>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</si>
  <si>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</si>
  <si>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</si>
  <si>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</si>
  <si>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</si>
  <si>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</si>
  <si>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</si>
  <si>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</si>
  <si>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</si>
  <si>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</si>
  <si>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</si>
  <si>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</si>
  <si>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</si>
  <si>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</si>
  <si>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</si>
  <si>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</si>
  <si>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</si>
  <si>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</si>
  <si>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</si>
  <si>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</si>
  <si>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</si>
  <si>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</si>
  <si>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</si>
  <si>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</si>
  <si>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</si>
  <si>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</si>
  <si>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</si>
  <si>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</si>
  <si>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</si>
  <si>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</si>
  <si>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</si>
  <si>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</si>
  <si>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</si>
  <si>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</si>
  <si>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</si>
  <si>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</si>
  <si>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</si>
  <si>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</si>
  <si>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</si>
  <si>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</si>
  <si>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</si>
  <si>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</si>
  <si>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</si>
  <si>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</si>
  <si>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</si>
  <si>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</si>
  <si>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</si>
  <si>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</si>
  <si>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</si>
  <si>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</si>
  <si>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</si>
  <si>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</si>
  <si>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</si>
  <si>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</si>
  <si>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</si>
  <si>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</si>
  <si>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</si>
  <si>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</si>
  <si>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</si>
  <si>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</si>
  <si>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</si>
  <si>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</si>
  <si>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</si>
  <si>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</si>
  <si>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</si>
  <si>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</si>
  <si>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</si>
  <si>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</si>
  <si>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</si>
  <si>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</si>
  <si>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</si>
  <si>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</si>
  <si>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</si>
  <si>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</si>
  <si>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</si>
  <si>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</si>
  <si>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</si>
  <si>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</si>
  <si>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</si>
  <si>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</si>
  <si>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</si>
  <si>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</si>
  <si>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</si>
  <si>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</si>
  <si>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</si>
  <si>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</si>
  <si>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</si>
  <si>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</si>
  <si>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</si>
  <si>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</si>
  <si>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</si>
  <si>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</si>
  <si>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</si>
  <si>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</si>
  <si>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</si>
  <si>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</si>
  <si>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</si>
  <si>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</si>
  <si>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</si>
  <si>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</si>
  <si>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</si>
  <si>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</si>
  <si>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</si>
  <si>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</si>
  <si>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</si>
  <si>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</si>
  <si>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</si>
  <si>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</si>
  <si>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</si>
  <si>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</si>
  <si>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</si>
  <si>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</si>
  <si>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</si>
  <si>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</si>
  <si>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</si>
  <si>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</si>
  <si>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</si>
  <si>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</si>
  <si>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</si>
  <si>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</si>
  <si>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</si>
  <si>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</si>
  <si>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</si>
  <si>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</si>
  <si>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</si>
  <si>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</si>
  <si>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</si>
  <si>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</si>
  <si>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</si>
  <si>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</si>
  <si>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</si>
  <si>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</si>
  <si>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</si>
  <si>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</si>
  <si>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</si>
  <si>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</si>
  <si>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</si>
  <si>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</si>
  <si>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</si>
  <si>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</si>
  <si>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</si>
  <si>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</si>
  <si>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</si>
  <si>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</si>
  <si>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</si>
  <si>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</si>
  <si>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</si>
  <si>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</si>
  <si>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</si>
  <si>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</si>
  <si>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</si>
  <si>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</si>
  <si>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</si>
  <si>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</si>
  <si>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</si>
  <si>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</si>
  <si>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</si>
  <si>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</si>
  <si>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</si>
  <si>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</si>
  <si>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</si>
  <si>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</si>
  <si>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</si>
  <si>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</si>
  <si>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</si>
  <si>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</si>
  <si>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</si>
  <si>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</si>
  <si>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</si>
  <si>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</si>
  <si>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</si>
  <si>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</si>
  <si>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</si>
  <si>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</si>
  <si>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</si>
  <si>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</si>
  <si>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</si>
  <si>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</si>
  <si>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</si>
  <si>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</si>
  <si>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</si>
  <si>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</si>
  <si>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</si>
  <si>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</si>
  <si>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</si>
  <si>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</si>
  <si>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</si>
  <si>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</si>
  <si>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</si>
  <si>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</si>
  <si>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</si>
  <si>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</si>
  <si>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</si>
  <si>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</si>
  <si>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</si>
  <si>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</si>
  <si>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</si>
  <si>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</si>
  <si>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</si>
  <si>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</si>
  <si>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</si>
  <si>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</si>
  <si>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</si>
  <si>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</si>
  <si>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</si>
  <si>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</si>
  <si>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</si>
  <si>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</si>
  <si>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</si>
  <si>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</si>
  <si>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</si>
  <si>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</si>
  <si>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</si>
  <si>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</si>
  <si>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</si>
  <si>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</si>
  <si>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</si>
  <si>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</si>
  <si>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</si>
  <si>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</si>
  <si>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</si>
  <si>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</si>
  <si>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</si>
  <si>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</si>
  <si>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</si>
  <si>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</si>
  <si>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</si>
  <si>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</si>
  <si>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</si>
  <si>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</si>
  <si>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</si>
  <si>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</si>
  <si>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</si>
  <si>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</si>
  <si>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</si>
  <si>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</si>
  <si>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</si>
  <si>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</si>
  <si>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</si>
  <si>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</si>
  <si>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</si>
  <si>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</si>
  <si>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</si>
  <si>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</si>
  <si>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</si>
  <si>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</si>
  <si>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</si>
  <si>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</si>
  <si>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</si>
  <si>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</si>
  <si>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</si>
  <si>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</si>
  <si>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</si>
  <si>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</si>
  <si>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</si>
  <si>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</si>
  <si>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</si>
  <si>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</si>
  <si>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</si>
  <si>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</si>
  <si>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</si>
  <si>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</si>
  <si>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</si>
  <si>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</si>
  <si>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</si>
  <si>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</si>
  <si>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</si>
  <si>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</si>
  <si>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</si>
  <si>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</si>
  <si>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</si>
  <si>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</si>
  <si>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</si>
  <si>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</si>
  <si>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</si>
  <si>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</si>
  <si>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</si>
  <si>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</si>
  <si>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</si>
  <si>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</si>
  <si>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</si>
  <si>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</si>
  <si>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</si>
  <si>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</si>
  <si>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</si>
  <si>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</si>
  <si>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</si>
  <si>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</si>
  <si>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</si>
  <si>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</si>
  <si>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</si>
  <si>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</si>
  <si>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</si>
  <si>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</si>
  <si>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</si>
  <si>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</si>
  <si>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</si>
  <si>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</si>
  <si>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</si>
  <si>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</si>
  <si>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</si>
  <si>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</si>
  <si>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</si>
  <si>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</si>
  <si>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</si>
  <si>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</si>
  <si>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</si>
  <si>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</si>
  <si>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</si>
  <si>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</si>
  <si>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</si>
  <si>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</si>
  <si>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</si>
  <si>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</si>
  <si>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</si>
  <si>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</si>
  <si>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</si>
  <si>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</si>
  <si>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</si>
  <si>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</si>
  <si>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</si>
  <si>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</si>
  <si>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</si>
  <si>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</si>
  <si>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</si>
  <si>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</si>
  <si>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</si>
  <si>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</si>
  <si>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</si>
  <si>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</si>
  <si>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</si>
  <si>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</si>
  <si>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</si>
  <si>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</si>
  <si>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</si>
  <si>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</si>
  <si>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</si>
  <si>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</si>
  <si>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</si>
  <si>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</si>
  <si>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</si>
  <si>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</si>
  <si>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</si>
  <si>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</si>
  <si>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</si>
  <si>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</si>
  <si>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</si>
  <si>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</si>
  <si>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</si>
  <si>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</si>
  <si>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</si>
  <si>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</si>
  <si>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</si>
  <si>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</si>
  <si>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</si>
  <si>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</si>
  <si>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</si>
  <si>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</si>
  <si>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</si>
  <si>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</si>
  <si>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</si>
  <si>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</si>
  <si>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</si>
  <si>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</si>
  <si>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</si>
  <si>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</si>
  <si>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</si>
  <si>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</si>
  <si>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</si>
  <si>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</si>
  <si>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</si>
  <si>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</si>
  <si>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</si>
  <si>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</si>
  <si>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</si>
  <si>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</si>
  <si>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</si>
  <si>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</si>
  <si>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</si>
  <si>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</si>
  <si>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</si>
  <si>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</si>
  <si>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</si>
  <si>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</si>
  <si>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</si>
  <si>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</si>
  <si>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</si>
  <si>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</si>
  <si>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</si>
  <si>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</si>
  <si>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</si>
  <si>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</si>
  <si>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</si>
  <si>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</si>
  <si>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</si>
  <si>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</si>
  <si>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</si>
  <si>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</si>
  <si>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</si>
  <si>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</si>
  <si>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</si>
  <si>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</si>
  <si>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</si>
  <si>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</si>
  <si>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</si>
  <si>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</si>
  <si>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</si>
  <si>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</si>
  <si>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</si>
  <si>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</si>
  <si>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</si>
  <si>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</si>
  <si>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</si>
  <si>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</si>
  <si>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</si>
  <si>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</si>
  <si>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</si>
  <si>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</si>
  <si>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</si>
  <si>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</si>
  <si>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</si>
  <si>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</si>
  <si>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</si>
  <si>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</si>
  <si>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</si>
  <si>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</si>
  <si>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</si>
  <si>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</si>
  <si>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</si>
  <si>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</si>
  <si>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</si>
  <si>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</si>
  <si>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</si>
  <si>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</si>
  <si>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</si>
  <si>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</si>
  <si>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</si>
  <si>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</si>
  <si>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</si>
  <si>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</si>
  <si>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</si>
  <si>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</si>
  <si>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</si>
  <si>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</si>
  <si>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</si>
  <si>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</si>
  <si>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</si>
  <si>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</si>
  <si>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</si>
  <si>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</si>
  <si>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</si>
  <si>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</si>
  <si>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</si>
  <si>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</si>
  <si>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</si>
  <si>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</si>
  <si>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</si>
  <si>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</si>
  <si>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</si>
  <si>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</si>
  <si>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</si>
  <si>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</si>
  <si>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</si>
  <si>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</si>
  <si>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</si>
  <si>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</si>
  <si>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</si>
  <si>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</si>
  <si>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</si>
  <si>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</si>
  <si>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</si>
  <si>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</si>
  <si>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</si>
  <si>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</si>
  <si>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</si>
  <si>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</si>
  <si>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</si>
  <si>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</si>
  <si>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</si>
  <si>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</si>
  <si>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</si>
  <si>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</si>
  <si>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</si>
  <si>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</si>
  <si>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</si>
  <si>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</si>
  <si>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</si>
  <si>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</si>
  <si>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</si>
  <si>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</si>
  <si>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</si>
  <si>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</si>
  <si>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</si>
  <si>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</si>
  <si>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</si>
  <si>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</si>
  <si>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</si>
  <si>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</si>
  <si>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</si>
  <si>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</si>
  <si>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</si>
  <si>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</si>
  <si>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</si>
  <si>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</si>
  <si>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</si>
  <si>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</si>
  <si>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</si>
  <si>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</si>
  <si>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</si>
  <si>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</si>
  <si>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</si>
  <si>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</si>
  <si>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</si>
  <si>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</si>
  <si>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</si>
  <si>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</si>
  <si>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</si>
  <si>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</si>
  <si>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</si>
  <si>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</si>
  <si>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</si>
  <si>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</si>
  <si>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</si>
  <si>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</si>
  <si>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</si>
  <si>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</si>
  <si>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</si>
  <si>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</si>
  <si>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</si>
  <si>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</si>
  <si>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</si>
  <si>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</si>
  <si>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</si>
  <si>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</si>
  <si>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</si>
  <si>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</si>
  <si>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</si>
  <si>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</si>
  <si>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</si>
  <si>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</si>
  <si>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</si>
  <si>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</si>
  <si>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</si>
  <si>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</si>
  <si>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</si>
  <si>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</si>
  <si>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</si>
  <si>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</si>
  <si>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</si>
  <si>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</si>
  <si>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</si>
  <si>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</si>
  <si>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</si>
  <si>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</si>
  <si>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</si>
  <si>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</si>
  <si>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</si>
  <si>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</si>
  <si>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</si>
  <si>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</si>
  <si>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</si>
  <si>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</si>
  <si>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</si>
  <si>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</si>
  <si>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</si>
  <si>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</si>
  <si>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</si>
  <si>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</si>
  <si>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</si>
  <si>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</si>
  <si>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</si>
  <si>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</si>
  <si>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</si>
  <si>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</si>
  <si>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</si>
  <si>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</si>
  <si>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</si>
  <si>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</si>
  <si>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</si>
  <si>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</si>
  <si>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</si>
  <si>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</si>
  <si>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</si>
  <si>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</si>
  <si>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</si>
  <si>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</si>
  <si>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</si>
  <si>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</si>
  <si>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</si>
  <si>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</si>
  <si>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</si>
  <si>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</si>
  <si>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</si>
  <si>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</si>
  <si>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</si>
  <si>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</si>
  <si>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</si>
  <si>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</si>
  <si>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</si>
  <si>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</si>
  <si>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</si>
  <si>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</si>
  <si>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</si>
  <si>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</si>
  <si>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</si>
  <si>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</si>
  <si>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</si>
  <si>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</si>
  <si>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</si>
  <si>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</si>
  <si>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</si>
  <si>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</si>
  <si>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</si>
  <si>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</si>
  <si>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</si>
  <si>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</si>
  <si>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</si>
  <si>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</si>
  <si>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</si>
  <si>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</si>
  <si>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</si>
  <si>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</si>
  <si>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</si>
  <si>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</si>
  <si>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</si>
  <si>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</si>
  <si>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</si>
  <si>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</si>
  <si>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</si>
  <si>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</si>
  <si>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</si>
  <si>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</si>
  <si>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</si>
  <si>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</si>
  <si>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</si>
  <si>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</si>
  <si>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</si>
  <si>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</si>
  <si>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</si>
  <si>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</si>
  <si>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</si>
  <si>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</si>
  <si>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</si>
  <si>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</si>
  <si>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</si>
  <si>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</si>
  <si>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</si>
  <si>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</si>
  <si>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</si>
  <si>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</si>
  <si>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</si>
  <si>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</si>
  <si>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</si>
  <si>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</si>
  <si>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</si>
  <si>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</si>
  <si>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</si>
  <si>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</si>
  <si>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</si>
  <si>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</si>
  <si>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</si>
  <si>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</si>
  <si>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</si>
  <si>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</si>
  <si>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</si>
  <si>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</si>
  <si>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</si>
  <si>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</si>
  <si>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</si>
  <si>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</si>
  <si>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</si>
  <si>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</si>
  <si>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</si>
  <si>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</si>
  <si>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</si>
  <si>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</si>
  <si>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</si>
  <si>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</si>
  <si>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</si>
  <si>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</si>
  <si>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</si>
  <si>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</si>
  <si>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</si>
  <si>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</si>
  <si>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</si>
  <si>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</si>
  <si>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</si>
  <si>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</si>
  <si>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</si>
  <si>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</si>
  <si>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</si>
  <si>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</si>
  <si>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</si>
  <si>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</si>
  <si>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</si>
  <si>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</si>
  <si>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</si>
  <si>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</si>
  <si>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</si>
  <si>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</si>
  <si>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</si>
  <si>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</si>
  <si>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</si>
  <si>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</si>
  <si>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</si>
  <si>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</si>
  <si>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</si>
  <si>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</si>
  <si>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</si>
  <si>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</si>
  <si>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</si>
  <si>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</si>
  <si>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</si>
  <si>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</si>
  <si>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</si>
  <si>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</si>
  <si>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</si>
  <si>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</si>
  <si>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</si>
  <si>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</si>
  <si>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</si>
  <si>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</si>
  <si>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</si>
  <si>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</si>
  <si>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</si>
  <si>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</si>
  <si>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</si>
  <si>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</si>
  <si>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</si>
  <si>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</si>
  <si>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</si>
  <si>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</si>
  <si>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</si>
  <si>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</si>
  <si>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</si>
  <si>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</si>
  <si>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</si>
  <si>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</si>
  <si>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</si>
  <si>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</si>
  <si>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</si>
  <si>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</si>
  <si>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</si>
  <si>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</si>
  <si>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</si>
  <si>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</si>
  <si>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</si>
  <si>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</si>
  <si>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</si>
  <si>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</si>
  <si>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</si>
  <si>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</si>
  <si>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</si>
  <si>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</si>
  <si>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</si>
  <si>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</si>
  <si>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</si>
  <si>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</si>
  <si>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</si>
  <si>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</si>
  <si>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</si>
  <si>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</si>
  <si>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</si>
  <si>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</si>
  <si>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</si>
  <si>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</si>
  <si>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</si>
  <si>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</si>
  <si>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</si>
  <si>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</si>
  <si>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</si>
  <si>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</si>
  <si>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</si>
  <si>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</si>
  <si>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</si>
  <si>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</si>
  <si>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</si>
  <si>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</si>
  <si>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</si>
  <si>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</si>
  <si>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</si>
  <si>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</si>
  <si>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</si>
  <si>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</si>
  <si>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</si>
  <si>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</si>
  <si>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</si>
  <si>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</si>
  <si>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</si>
  <si>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</si>
  <si>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</si>
  <si>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</si>
  <si>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</si>
  <si>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</si>
  <si>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</si>
  <si>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</si>
  <si>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</si>
  <si>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</si>
  <si>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</si>
  <si>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</si>
  <si>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</si>
  <si>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</si>
  <si>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</si>
  <si>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</si>
  <si>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</si>
  <si>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</si>
  <si>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</si>
  <si>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</si>
  <si>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</si>
  <si>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</si>
  <si>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</si>
  <si>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</si>
  <si>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</si>
  <si>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</si>
  <si>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</si>
  <si>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</si>
  <si>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</si>
  <si>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</si>
  <si>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</si>
  <si>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</si>
  <si>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</si>
  <si>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</si>
  <si>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</si>
  <si>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</si>
  <si>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</si>
  <si>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</si>
  <si>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</si>
  <si>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</si>
  <si>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</si>
  <si>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</si>
  <si>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</si>
  <si>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</si>
  <si>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</si>
  <si>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</si>
  <si>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</si>
  <si>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</si>
  <si>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</si>
  <si>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</si>
  <si>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</si>
  <si>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</si>
  <si>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</si>
  <si>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</si>
  <si>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</si>
  <si>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</si>
  <si>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</si>
  <si>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</si>
  <si>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</si>
  <si>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</si>
  <si>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</si>
  <si>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</si>
  <si>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</si>
  <si>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</si>
  <si>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</si>
  <si>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</si>
  <si>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</si>
  <si>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</si>
  <si>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</si>
  <si>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</si>
  <si>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</si>
  <si>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</si>
  <si>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</si>
  <si>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</si>
  <si>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</si>
  <si>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</si>
  <si>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</si>
  <si>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</si>
  <si>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</si>
  <si>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</si>
  <si>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</si>
  <si>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</si>
  <si>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</si>
  <si>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</si>
  <si>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</si>
  <si>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</si>
  <si>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</si>
  <si>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</si>
  <si>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</si>
  <si>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</si>
  <si>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</si>
  <si>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</si>
  <si>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</si>
  <si>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</si>
  <si>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</si>
  <si>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</si>
  <si>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</si>
  <si>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</si>
  <si>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</si>
  <si>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</si>
  <si>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</si>
  <si>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</si>
  <si>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</si>
  <si>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</si>
  <si>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</si>
  <si>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</si>
  <si>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</si>
  <si>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</si>
  <si>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</si>
  <si>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</si>
  <si>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</si>
  <si>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</si>
  <si>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</si>
  <si>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</si>
  <si>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</si>
  <si>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</si>
  <si>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</si>
  <si>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</si>
  <si>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</si>
  <si>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</si>
  <si>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</si>
  <si>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</si>
  <si>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</si>
  <si>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</si>
  <si>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</si>
  <si>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</si>
  <si>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</si>
  <si>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</si>
  <si>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</si>
  <si>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</si>
  <si>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</si>
  <si>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</si>
  <si>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</si>
  <si>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</si>
  <si>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</si>
  <si>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</si>
  <si>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</si>
  <si>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</si>
  <si>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</si>
  <si>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</si>
  <si>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</si>
  <si>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</si>
  <si>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</si>
  <si>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</si>
  <si>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</si>
  <si>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</si>
  <si>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</si>
  <si>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</si>
  <si>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</si>
  <si>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</si>
  <si>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</si>
  <si>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</si>
  <si>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</si>
  <si>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</si>
  <si>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</si>
  <si>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</si>
  <si>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</si>
  <si>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</si>
  <si>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</si>
  <si>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</si>
  <si>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</si>
  <si>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</si>
  <si>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</si>
  <si>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</si>
  <si>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</si>
  <si>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</si>
  <si>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</si>
  <si>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</si>
  <si>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</si>
  <si>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</si>
  <si>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</si>
  <si>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</si>
  <si>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</si>
  <si>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</si>
  <si>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</si>
  <si>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</si>
  <si>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</si>
  <si>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</si>
  <si>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</si>
  <si>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</si>
  <si>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</si>
  <si>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</si>
  <si>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</si>
  <si>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</si>
  <si>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</si>
  <si>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</si>
  <si>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</si>
  <si>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</si>
  <si>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</si>
  <si>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</si>
  <si>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</si>
  <si>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</si>
  <si>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</si>
  <si>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</si>
  <si>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</si>
  <si>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</si>
  <si>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</si>
  <si>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</si>
  <si>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</si>
  <si>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</si>
  <si>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</si>
  <si>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</si>
  <si>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</si>
  <si>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</si>
  <si>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</si>
  <si>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</si>
  <si>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</si>
  <si>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</si>
  <si>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</si>
  <si>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</si>
  <si>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</si>
  <si>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</si>
  <si>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</si>
  <si>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</si>
  <si>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</si>
  <si>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</si>
  <si>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</si>
  <si>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</si>
  <si>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</si>
  <si>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</si>
  <si>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</si>
  <si>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</si>
  <si>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</si>
  <si>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</si>
  <si>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</si>
  <si>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</si>
  <si>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</si>
  <si>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</si>
  <si>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</si>
  <si>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</si>
  <si>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</si>
  <si>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</si>
  <si>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</si>
  <si>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</si>
  <si>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</si>
  <si>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</si>
  <si>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</si>
  <si>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</si>
  <si>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</si>
  <si>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</si>
  <si>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</si>
  <si>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</si>
  <si>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</si>
  <si>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</si>
  <si>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</si>
  <si>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</si>
  <si>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</si>
  <si>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</si>
  <si>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</si>
  <si>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</si>
  <si>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</si>
  <si>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</si>
  <si>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</si>
  <si>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</si>
  <si>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</si>
  <si>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</si>
  <si>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</si>
  <si>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</si>
  <si>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</si>
  <si>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</si>
  <si>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</si>
  <si>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</si>
  <si>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</si>
  <si>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</si>
  <si>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</si>
  <si>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</si>
  <si>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</si>
  <si>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</si>
  <si>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</si>
  <si>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</si>
  <si>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</si>
  <si>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</si>
  <si>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</si>
  <si>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</si>
  <si>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</si>
  <si>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</si>
  <si>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</si>
  <si>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</si>
  <si>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</si>
  <si>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</si>
  <si>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</si>
  <si>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</si>
  <si>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</si>
  <si>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</si>
  <si>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</si>
  <si>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</si>
  <si>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</si>
  <si>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</si>
  <si>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</si>
  <si>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</si>
  <si>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</si>
  <si>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</si>
  <si>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</si>
  <si>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</si>
  <si>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</si>
  <si>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</si>
  <si>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</si>
  <si>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</si>
  <si>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</si>
  <si>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</si>
  <si>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</si>
  <si>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</si>
  <si>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</si>
  <si>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</si>
  <si>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</si>
  <si>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</si>
  <si>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</si>
  <si>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</si>
  <si>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</si>
  <si>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</si>
  <si>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</si>
  <si>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</si>
  <si>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</si>
  <si>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</si>
  <si>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</si>
  <si>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</si>
  <si>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</si>
  <si>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</si>
  <si>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</si>
  <si>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</si>
  <si>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</si>
  <si>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</si>
  <si>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</si>
  <si>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</si>
  <si>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</si>
  <si>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</si>
  <si>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</si>
  <si>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</si>
  <si>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</si>
  <si>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</si>
  <si>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</si>
  <si>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</si>
  <si>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</si>
  <si>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</si>
  <si>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</si>
  <si>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</si>
  <si>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</si>
  <si>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</si>
  <si>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</si>
  <si>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</si>
  <si>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</si>
  <si>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</si>
  <si>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</si>
  <si>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</si>
  <si>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</si>
  <si>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</si>
  <si>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</si>
  <si>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</si>
  <si>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</si>
  <si>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</si>
  <si>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</si>
  <si>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</si>
  <si>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</si>
  <si>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</si>
  <si>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</si>
  <si>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</si>
  <si>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</si>
  <si>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</si>
  <si>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</si>
  <si>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</si>
  <si>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</si>
  <si>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</si>
  <si>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</si>
  <si>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</si>
  <si>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</si>
  <si>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</si>
  <si>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</si>
  <si>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</si>
  <si>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</si>
  <si>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</si>
  <si>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</si>
  <si>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</si>
  <si>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</si>
  <si>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</si>
  <si>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</si>
  <si>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</si>
  <si>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</si>
  <si>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</si>
  <si>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</si>
  <si>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</si>
  <si>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</si>
  <si>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</si>
  <si>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</si>
  <si>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</si>
  <si>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</si>
  <si>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</si>
  <si>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</si>
  <si>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</si>
  <si>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</si>
  <si>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</si>
  <si>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</si>
  <si>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</si>
  <si>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</si>
  <si>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</si>
  <si>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</si>
  <si>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</si>
  <si>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</si>
  <si>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</si>
  <si>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</si>
  <si>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</si>
  <si>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</si>
  <si>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</si>
  <si>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</si>
  <si>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</si>
  <si>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</si>
  <si>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</si>
  <si>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</si>
  <si>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</si>
  <si>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</si>
  <si>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</si>
  <si>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</si>
  <si>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</si>
  <si>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</si>
  <si>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</si>
  <si>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</si>
  <si>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</si>
  <si>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</si>
  <si>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</si>
  <si>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</si>
  <si>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</si>
  <si>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</si>
  <si>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</si>
  <si>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</si>
  <si>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</si>
  <si>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</si>
  <si>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</si>
  <si>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</si>
  <si>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</si>
  <si>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</si>
  <si>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</si>
  <si>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</si>
  <si>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</si>
  <si>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</si>
  <si>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</si>
  <si>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</si>
  <si>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</si>
  <si>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</si>
  <si>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</si>
  <si>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</si>
  <si>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</si>
  <si>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</si>
  <si>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</si>
  <si>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</si>
  <si>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</si>
  <si>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</si>
  <si>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</si>
  <si>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</si>
  <si>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</si>
  <si>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</si>
  <si>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</si>
  <si>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</si>
  <si>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</si>
  <si>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</si>
  <si>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</si>
  <si>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</si>
  <si>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</si>
  <si>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</si>
  <si>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</si>
  <si>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</si>
  <si>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</si>
  <si>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</si>
  <si>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</si>
  <si>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</si>
  <si>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</si>
  <si>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</si>
  <si>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</si>
  <si>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</si>
  <si>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</si>
  <si>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</si>
  <si>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</si>
  <si>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</si>
  <si>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</si>
  <si>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</si>
  <si>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</si>
  <si>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</si>
  <si>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</si>
  <si>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</si>
  <si>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</si>
  <si>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</si>
  <si>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</si>
  <si>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</si>
  <si>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</si>
  <si>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</si>
  <si>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</si>
  <si>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</si>
  <si>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</si>
  <si>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</si>
  <si>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</si>
  <si>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</si>
  <si>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</si>
  <si>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</si>
  <si>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</si>
  <si>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</si>
  <si>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</si>
  <si>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</si>
  <si>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</si>
  <si>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</si>
  <si>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</si>
  <si>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</si>
  <si>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</si>
  <si>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</si>
  <si>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</si>
  <si>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</si>
  <si>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</si>
  <si>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</si>
  <si>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</si>
  <si>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</si>
  <si>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</si>
  <si>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</si>
  <si>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</si>
  <si>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</si>
  <si>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</si>
  <si>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</si>
  <si>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</si>
  <si>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</si>
  <si>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</si>
  <si>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</si>
  <si>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</si>
  <si>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</si>
  <si>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</si>
  <si>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</si>
  <si>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</si>
  <si>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</si>
  <si>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</si>
  <si>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</si>
  <si>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</si>
  <si>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</si>
  <si>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</si>
  <si>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</si>
  <si>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</si>
  <si>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</si>
  <si>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</si>
  <si>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</si>
  <si>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</si>
  <si>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</si>
  <si>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</si>
  <si>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</si>
  <si>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</si>
  <si>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</si>
  <si>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</si>
  <si>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</si>
  <si>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</si>
  <si>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</si>
  <si>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</si>
  <si>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</si>
  <si>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</si>
  <si>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</si>
  <si>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</si>
  <si>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</si>
  <si>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</si>
  <si>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</si>
  <si>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</si>
  <si>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</si>
  <si>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</si>
  <si>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</si>
  <si>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</si>
  <si>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</si>
  <si>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</si>
  <si>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</si>
  <si>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</si>
  <si>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</si>
  <si>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</si>
  <si>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</si>
  <si>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</si>
  <si>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</si>
  <si>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</si>
  <si>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</si>
  <si>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</si>
  <si>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</si>
  <si>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</si>
  <si>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</si>
  <si>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</si>
  <si>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</si>
  <si>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</si>
  <si>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</si>
  <si>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</si>
  <si>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</si>
  <si>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</si>
  <si>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</si>
  <si>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</si>
  <si>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</si>
  <si>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</si>
  <si>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</si>
  <si>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</si>
  <si>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</si>
  <si>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</si>
  <si>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</si>
  <si>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</si>
  <si>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</si>
  <si>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</si>
  <si>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</si>
  <si>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</si>
  <si>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</si>
  <si>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</si>
  <si>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</si>
  <si>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</si>
  <si>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</si>
  <si>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</si>
  <si>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</si>
  <si>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</si>
  <si>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</si>
  <si>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</si>
  <si>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</si>
  <si>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</si>
  <si>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</si>
  <si>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</si>
  <si>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</si>
  <si>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</si>
  <si>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</si>
  <si>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</si>
  <si>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</si>
  <si>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</si>
  <si>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</si>
  <si>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</si>
  <si>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</si>
  <si>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</si>
  <si>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</si>
  <si>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</si>
  <si>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</si>
  <si>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</si>
  <si>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</si>
  <si>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</si>
  <si>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</si>
  <si>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</si>
  <si>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</si>
  <si>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</si>
  <si>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</si>
  <si>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</si>
  <si>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</si>
  <si>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</si>
  <si>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</si>
  <si>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</si>
  <si>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</si>
  <si>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</si>
  <si>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</si>
  <si>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</si>
  <si>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</si>
  <si>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</si>
  <si>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</si>
  <si>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</si>
  <si>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</si>
  <si>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</si>
  <si>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</si>
  <si>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</si>
  <si>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</si>
  <si>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</si>
  <si>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</si>
  <si>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</si>
  <si>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</si>
  <si>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</si>
  <si>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</si>
  <si>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</si>
  <si>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</si>
  <si>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</si>
  <si>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</si>
  <si>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</si>
  <si>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</si>
  <si>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</si>
  <si>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</si>
  <si>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</si>
  <si>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</si>
  <si>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</si>
  <si>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</si>
  <si>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</si>
  <si>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</si>
  <si>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</si>
  <si>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</si>
  <si>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</si>
  <si>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</si>
  <si>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</si>
  <si>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</si>
  <si>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</si>
  <si>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</si>
  <si>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</si>
  <si>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</si>
  <si>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</si>
  <si>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</si>
  <si>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</si>
  <si>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</si>
  <si>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</si>
  <si>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</si>
  <si>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</si>
  <si>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</si>
  <si>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</si>
  <si>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</si>
  <si>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</si>
  <si>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</si>
  <si>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</si>
  <si>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</si>
  <si>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</si>
  <si>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</si>
  <si>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</si>
  <si>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</si>
  <si>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</si>
  <si>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</si>
  <si>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</si>
  <si>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</si>
  <si>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</si>
  <si>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</si>
  <si>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</si>
  <si>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</si>
  <si>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</si>
  <si>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</si>
  <si>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</si>
  <si>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</si>
  <si>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</si>
  <si>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</si>
  <si>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</si>
  <si>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</si>
  <si>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</si>
  <si>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</si>
  <si>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</si>
  <si>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</si>
  <si>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</si>
  <si>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</si>
  <si>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</si>
  <si>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</si>
  <si>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</si>
  <si>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</si>
  <si>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</si>
  <si>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</si>
  <si>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</si>
  <si>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</si>
  <si>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</si>
  <si>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</si>
  <si>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</si>
  <si>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</si>
  <si>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</si>
  <si>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</si>
  <si>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</si>
  <si>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</si>
  <si>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</si>
  <si>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</si>
  <si>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</si>
  <si>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</si>
  <si>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</si>
  <si>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</si>
  <si>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</si>
  <si>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</si>
  <si>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</si>
  <si>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</si>
  <si>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</si>
  <si>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</si>
  <si>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</si>
  <si>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</si>
  <si>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</si>
  <si>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</si>
  <si>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</si>
  <si>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</si>
  <si>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</si>
  <si>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</si>
  <si>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</si>
  <si>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</si>
  <si>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</si>
  <si>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</si>
  <si>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</si>
  <si>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</si>
  <si>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</si>
  <si>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</si>
  <si>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</si>
  <si>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</si>
  <si>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</si>
  <si>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</si>
  <si>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</si>
  <si>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</si>
  <si>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</si>
  <si>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</si>
  <si>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</si>
  <si>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</si>
  <si>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</si>
  <si>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</si>
  <si>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</si>
  <si>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</si>
  <si>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</si>
  <si>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</si>
  <si>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</si>
  <si>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</si>
  <si>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</si>
  <si>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</si>
  <si>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</si>
  <si>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</si>
  <si>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</si>
  <si>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</si>
  <si>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</si>
  <si>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</si>
  <si>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</si>
  <si>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</si>
  <si>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</si>
  <si>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</si>
  <si>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</si>
  <si>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</si>
  <si>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</si>
  <si>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</si>
  <si>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</si>
  <si>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</si>
  <si>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</si>
  <si>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</si>
  <si>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</si>
  <si>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</si>
  <si>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</si>
  <si>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</si>
  <si>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</si>
  <si>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</si>
  <si>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</si>
  <si>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</si>
  <si>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</si>
  <si>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</si>
  <si>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</si>
  <si>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</si>
  <si>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</si>
  <si>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</si>
  <si>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</si>
  <si>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</si>
  <si>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</si>
  <si>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</si>
  <si>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</si>
  <si>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</si>
  <si>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</si>
  <si>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</si>
  <si>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</si>
  <si>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</si>
  <si>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</si>
  <si>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</si>
  <si>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</si>
  <si>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</si>
  <si>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</si>
  <si>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</si>
  <si>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</si>
  <si>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</si>
  <si>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</si>
  <si>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</si>
  <si>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</si>
  <si>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</si>
  <si>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</si>
  <si>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</si>
  <si>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</si>
  <si>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</si>
  <si>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</si>
  <si>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</si>
  <si>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</si>
  <si>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</si>
  <si>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</si>
  <si>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</si>
  <si>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</si>
  <si>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</si>
  <si>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</si>
  <si>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</si>
  <si>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</si>
  <si>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</si>
  <si>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</si>
  <si>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</si>
  <si>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</si>
  <si>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</si>
  <si>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</si>
  <si>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</si>
  <si>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</si>
  <si>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</si>
  <si>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</si>
  <si>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</si>
  <si>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</si>
  <si>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</si>
  <si>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</si>
  <si>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</si>
  <si>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</si>
  <si>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</si>
  <si>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</si>
  <si>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</si>
  <si>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</si>
  <si>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</si>
  <si>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</si>
  <si>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</si>
  <si>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</si>
  <si>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</si>
  <si>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</si>
  <si>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</si>
  <si>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</si>
  <si>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</si>
  <si>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</si>
  <si>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</si>
  <si>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</si>
  <si>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</si>
  <si>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</si>
  <si>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</si>
  <si>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</si>
  <si>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</si>
  <si>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</si>
  <si>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</si>
  <si>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</si>
  <si>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</si>
  <si>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</si>
  <si>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</si>
  <si>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</si>
  <si>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</si>
  <si>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</si>
  <si>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</si>
  <si>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</si>
  <si>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</si>
  <si>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</si>
  <si>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</si>
  <si>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</si>
  <si>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</si>
  <si>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</si>
  <si>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</si>
  <si>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</si>
  <si>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</si>
  <si>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</si>
  <si>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</si>
  <si>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</si>
  <si>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</si>
  <si>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</si>
  <si>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</si>
  <si>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</si>
  <si>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</si>
  <si>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</si>
  <si>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</si>
  <si>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</si>
  <si>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</si>
  <si>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</si>
  <si>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</si>
  <si>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</si>
  <si>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</si>
  <si>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</si>
  <si>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</si>
  <si>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</si>
  <si>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</si>
  <si>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</si>
  <si>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</si>
  <si>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</si>
  <si>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</si>
  <si>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</si>
  <si>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</si>
  <si>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</si>
  <si>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</si>
  <si>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</si>
  <si>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</si>
  <si>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</si>
  <si>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</si>
  <si>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</si>
  <si>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</si>
  <si>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</si>
  <si>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</si>
  <si>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</si>
  <si>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</si>
  <si>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</si>
  <si>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</si>
  <si>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</si>
  <si>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</si>
  <si>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</si>
  <si>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</si>
  <si>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</si>
  <si>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</si>
  <si>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</si>
  <si>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</si>
  <si>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</si>
  <si>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</si>
  <si>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</si>
  <si>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</si>
  <si>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</si>
  <si>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</si>
  <si>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</si>
  <si>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</si>
  <si>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</si>
  <si>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</si>
  <si>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</si>
  <si>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</si>
  <si>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</si>
  <si>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</si>
  <si>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</si>
  <si>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</si>
  <si>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</si>
  <si>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</si>
  <si>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</si>
  <si>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</si>
  <si>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</si>
  <si>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</si>
  <si>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</si>
  <si>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</si>
  <si>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</si>
  <si>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</si>
  <si>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</si>
  <si>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</si>
  <si>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</si>
  <si>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</si>
  <si>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</si>
  <si>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</si>
  <si>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</si>
  <si>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</si>
  <si>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</si>
  <si>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</si>
  <si>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</si>
  <si>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</si>
  <si>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</si>
  <si>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</si>
  <si>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</si>
  <si>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</si>
  <si>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</si>
  <si>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</si>
  <si>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</si>
  <si>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</si>
  <si>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</si>
  <si>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</si>
  <si>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</si>
  <si>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</si>
  <si>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</si>
  <si>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</si>
  <si>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</si>
  <si>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</si>
  <si>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</si>
  <si>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</si>
  <si>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</si>
  <si>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</si>
  <si>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</si>
  <si>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</si>
  <si>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</si>
  <si>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</si>
  <si>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</si>
  <si>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</si>
  <si>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</si>
  <si>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</si>
  <si>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</si>
  <si>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</si>
  <si>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</si>
  <si>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</si>
  <si>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</si>
  <si>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</si>
  <si>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</si>
  <si>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</si>
  <si>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</si>
  <si>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</si>
  <si>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</si>
  <si>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</si>
  <si>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</si>
  <si>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</si>
  <si>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</si>
  <si>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</si>
  <si>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</si>
  <si>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</si>
  <si>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</si>
  <si>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</si>
  <si>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</si>
  <si>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</si>
  <si>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</si>
  <si>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</si>
  <si>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</si>
  <si>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</si>
  <si>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</si>
  <si>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</si>
  <si>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</si>
  <si>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</si>
  <si>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</si>
  <si>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</si>
  <si>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</si>
  <si>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</si>
  <si>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</si>
  <si>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</si>
  <si>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</si>
  <si>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</si>
  <si>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</si>
  <si>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</si>
  <si>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</si>
  <si>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</si>
  <si>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</si>
  <si>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</si>
  <si>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</si>
  <si>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</si>
  <si>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</si>
  <si>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</si>
  <si>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</si>
  <si>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</si>
  <si>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</si>
  <si>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</si>
  <si>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</si>
  <si>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</si>
  <si>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</si>
  <si>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</si>
  <si>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</si>
  <si>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</si>
  <si>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</si>
  <si>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</si>
  <si>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</si>
  <si>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</si>
  <si>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</si>
  <si>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</si>
  <si>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</si>
  <si>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</si>
  <si>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</si>
  <si>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</si>
  <si>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</si>
  <si>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</si>
  <si>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</si>
  <si>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</si>
  <si>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</si>
  <si>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</si>
  <si>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</si>
  <si>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</si>
  <si>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</si>
  <si>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</si>
  <si>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</si>
  <si>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</si>
  <si>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</si>
  <si>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</si>
  <si>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</si>
  <si>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</si>
  <si>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</si>
  <si>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</si>
  <si>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</si>
  <si>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</si>
  <si>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</si>
  <si>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</si>
  <si>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</si>
  <si>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</si>
  <si>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</si>
  <si>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</si>
  <si>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</si>
  <si>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</si>
  <si>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</si>
  <si>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</si>
  <si>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</si>
  <si>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</si>
  <si>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</si>
  <si>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</si>
  <si>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</si>
  <si>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</si>
  <si>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</si>
  <si>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</si>
  <si>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</si>
  <si>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</si>
  <si>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</si>
  <si>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</si>
  <si>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</si>
  <si>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</si>
  <si>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</si>
  <si>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</si>
  <si>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</si>
  <si>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</si>
  <si>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</si>
  <si>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</si>
  <si>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</si>
  <si>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</si>
  <si>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</si>
  <si>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</si>
  <si>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</si>
  <si>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</si>
  <si>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</si>
  <si>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</si>
  <si>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</si>
  <si>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</si>
  <si>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</si>
  <si>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</si>
  <si>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</si>
  <si>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</si>
  <si>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</si>
  <si>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</si>
  <si>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</si>
  <si>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</si>
  <si>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</si>
  <si>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</si>
  <si>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</si>
  <si>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</si>
  <si>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</si>
  <si>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</si>
  <si>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</si>
  <si>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</si>
  <si>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</si>
  <si>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</si>
  <si>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</si>
  <si>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</si>
  <si>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</si>
  <si>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</si>
  <si>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</si>
  <si>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</si>
  <si>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</si>
  <si>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</si>
  <si>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</si>
  <si>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</si>
  <si>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</si>
  <si>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</si>
  <si>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</si>
  <si>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</si>
  <si>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</si>
  <si>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</si>
  <si>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</si>
  <si>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</si>
  <si>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</si>
  <si>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</si>
  <si>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</si>
  <si>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</si>
  <si>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</si>
  <si>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</si>
  <si>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</si>
  <si>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</si>
  <si>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</si>
  <si>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</si>
  <si>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</si>
  <si>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</si>
  <si>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</si>
  <si>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</si>
  <si>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</si>
  <si>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</si>
  <si>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</si>
  <si>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</si>
  <si>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</si>
  <si>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</si>
  <si>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</si>
  <si>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</si>
  <si>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</si>
  <si>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</si>
  <si>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</si>
  <si>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</si>
  <si>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</si>
  <si>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</si>
  <si>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</si>
  <si>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</si>
  <si>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</si>
  <si>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</si>
  <si>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</si>
  <si>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</si>
  <si>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</si>
  <si>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</si>
  <si>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</si>
  <si>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</si>
  <si>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</si>
  <si>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</si>
  <si>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</si>
  <si>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</si>
  <si>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</si>
  <si>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</si>
  <si>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</si>
  <si>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</si>
  <si>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</si>
  <si>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</si>
  <si>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</si>
  <si>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</si>
  <si>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</si>
  <si>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</si>
  <si>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</si>
  <si>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</si>
  <si>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</si>
  <si>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</si>
  <si>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</si>
  <si>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</si>
  <si>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</si>
  <si>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</si>
  <si>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</si>
  <si>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</si>
  <si>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</si>
  <si>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</si>
  <si>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</si>
  <si>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</si>
  <si>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</si>
  <si>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</si>
  <si>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</si>
  <si>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</si>
  <si>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</si>
  <si>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</si>
  <si>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</si>
  <si>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</si>
  <si>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</si>
  <si>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</si>
  <si>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</si>
  <si>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</si>
  <si>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</si>
  <si>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</si>
  <si>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</si>
  <si>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</si>
  <si>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</si>
  <si>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</si>
  <si>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</si>
  <si>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</si>
  <si>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</si>
  <si>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</si>
  <si>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</si>
  <si>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</si>
  <si>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</si>
  <si>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</si>
  <si>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</si>
  <si>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</si>
  <si>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</si>
  <si>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</si>
  <si>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</si>
  <si>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</si>
  <si>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</si>
  <si>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</si>
  <si>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</si>
  <si>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</si>
  <si>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</si>
  <si>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</si>
  <si>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</si>
  <si>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</si>
  <si>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</si>
  <si>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</si>
  <si>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</si>
  <si>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</si>
  <si>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</si>
  <si>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</si>
  <si>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</si>
  <si>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</si>
  <si>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</si>
  <si>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</si>
  <si>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</si>
  <si>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</si>
  <si>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</si>
  <si>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</si>
  <si>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</si>
  <si>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</si>
  <si>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</si>
  <si>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</si>
  <si>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</si>
  <si>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</si>
  <si>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</si>
  <si>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</si>
  <si>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</si>
  <si>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</si>
  <si>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</si>
  <si>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</si>
  <si>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</si>
  <si>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</si>
  <si>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</si>
  <si>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</si>
  <si>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</si>
  <si>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</si>
  <si>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</si>
  <si>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</si>
  <si>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</si>
  <si>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</si>
  <si>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</si>
  <si>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</si>
  <si>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</si>
  <si>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</si>
  <si>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</si>
  <si>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</si>
  <si>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</si>
  <si>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</si>
  <si>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</si>
  <si>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</si>
  <si>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</si>
  <si>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</si>
  <si>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</si>
  <si>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</si>
  <si>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</si>
  <si>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</si>
  <si>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</si>
  <si>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</si>
  <si>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</si>
  <si>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</si>
  <si>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</si>
  <si>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</si>
  <si>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</si>
  <si>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</si>
  <si>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</si>
  <si>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</si>
  <si>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</si>
  <si>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</si>
  <si>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</si>
  <si>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</si>
  <si>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</si>
  <si>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</si>
  <si>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</si>
  <si>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</si>
  <si>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</si>
  <si>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</si>
  <si>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</si>
  <si>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</si>
  <si>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</si>
  <si>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</si>
  <si>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</si>
  <si>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</si>
  <si>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</si>
  <si>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</si>
  <si>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</si>
  <si>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</si>
  <si>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</si>
  <si>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</si>
  <si>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</si>
  <si>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</si>
  <si>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</si>
  <si>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</si>
  <si>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</si>
  <si>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</si>
  <si>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</si>
  <si>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</si>
  <si>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</si>
  <si>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</si>
  <si>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</si>
  <si>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</si>
  <si>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</si>
  <si>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</si>
  <si>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</si>
  <si>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</si>
  <si>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</si>
  <si>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</si>
  <si>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</si>
  <si>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</si>
  <si>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</si>
  <si>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</si>
  <si>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</si>
  <si>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</si>
  <si>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</si>
  <si>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</si>
  <si>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</si>
  <si>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</si>
  <si>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</si>
  <si>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</si>
  <si>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</si>
  <si>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</si>
  <si>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</si>
  <si>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</si>
  <si>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</si>
  <si>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</si>
  <si>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</si>
  <si>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</si>
  <si>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</si>
  <si>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</si>
  <si>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</si>
  <si>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</si>
  <si>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</si>
  <si>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</si>
  <si>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</si>
  <si>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</si>
  <si>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</si>
  <si>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</si>
  <si>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</si>
  <si>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</si>
  <si>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</si>
  <si>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</si>
  <si>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</si>
  <si>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</si>
  <si>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</si>
  <si>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</si>
  <si>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</si>
  <si>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</si>
  <si>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</si>
  <si>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</si>
  <si>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</si>
  <si>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</si>
  <si>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</si>
  <si>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</si>
  <si>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</si>
  <si>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</si>
  <si>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</si>
  <si>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</si>
  <si>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</si>
  <si>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</si>
  <si>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</si>
  <si>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</si>
  <si>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</si>
  <si>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</si>
  <si>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</si>
  <si>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</si>
  <si>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</si>
  <si>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</si>
  <si>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</si>
  <si>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</si>
  <si>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</si>
  <si>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</si>
  <si>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</si>
  <si>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</si>
  <si>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</si>
  <si>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</si>
  <si>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</si>
  <si>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</si>
  <si>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</si>
  <si>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</si>
  <si>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</si>
  <si>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</si>
  <si>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</si>
  <si>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</si>
  <si>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</si>
  <si>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</si>
  <si>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</si>
  <si>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</si>
  <si>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</si>
  <si>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</si>
  <si>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</si>
  <si>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</si>
  <si>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</si>
  <si>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</si>
  <si>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</si>
  <si>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</si>
  <si>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</si>
  <si>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</si>
  <si>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</si>
  <si>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</si>
  <si>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</si>
  <si>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</si>
  <si>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</si>
  <si>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</si>
  <si>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</si>
  <si>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</si>
  <si>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</si>
  <si>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</si>
  <si>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</si>
  <si>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</si>
  <si>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</si>
  <si>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</si>
  <si>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</si>
  <si>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</si>
  <si>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</si>
  <si>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</si>
  <si>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</si>
  <si>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</si>
  <si>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</si>
  <si>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</si>
  <si>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</si>
  <si>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</si>
  <si>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</si>
  <si>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</si>
  <si>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</si>
  <si>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</si>
  <si>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</si>
  <si>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</si>
  <si>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</si>
  <si>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</si>
  <si>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</si>
  <si>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</si>
  <si>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</si>
  <si>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</si>
  <si>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</si>
  <si>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</si>
  <si>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</si>
  <si>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</si>
  <si>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</si>
  <si>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</si>
  <si>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</si>
  <si>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</si>
  <si>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</si>
  <si>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</si>
  <si>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</si>
  <si>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</si>
  <si>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</si>
  <si>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</si>
  <si>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</si>
  <si>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</si>
  <si>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</si>
  <si>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</si>
  <si>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</si>
  <si>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</si>
  <si>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</si>
  <si>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</si>
  <si>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</si>
  <si>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</si>
  <si>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</si>
  <si>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</si>
  <si>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</si>
  <si>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</si>
  <si>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</si>
  <si>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</si>
  <si>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</si>
  <si>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</si>
  <si>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</si>
  <si>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</si>
  <si>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</si>
  <si>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</si>
  <si>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</si>
  <si>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</si>
  <si>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</si>
  <si>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</si>
  <si>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</si>
  <si>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</si>
  <si>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</si>
  <si>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</si>
  <si>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</si>
  <si>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</si>
  <si>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</si>
  <si>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</si>
  <si>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</si>
  <si>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</si>
  <si>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</si>
  <si>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</si>
  <si>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</si>
  <si>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</si>
  <si>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</si>
  <si>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</si>
  <si>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</si>
  <si>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</si>
  <si>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</si>
  <si>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</si>
  <si>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</si>
  <si>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</si>
  <si>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</si>
  <si>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</si>
  <si>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</si>
  <si>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</si>
  <si>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</si>
  <si>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</si>
  <si>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</si>
  <si>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</si>
  <si>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</si>
  <si>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</si>
  <si>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</si>
  <si>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</si>
  <si>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</si>
  <si>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</si>
  <si>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</si>
  <si>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</si>
  <si>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</si>
  <si>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</si>
  <si>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</si>
  <si>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</si>
  <si>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</si>
  <si>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</si>
  <si>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</si>
  <si>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</si>
  <si>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</si>
  <si>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</si>
  <si>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</si>
  <si>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</si>
  <si>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</si>
  <si>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</si>
  <si>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</si>
  <si>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</si>
  <si>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</si>
  <si>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</si>
  <si>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</si>
  <si>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</si>
  <si>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</si>
  <si>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</si>
  <si>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</si>
  <si>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</si>
  <si>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</si>
  <si>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</si>
  <si>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</si>
  <si>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</si>
  <si>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</si>
  <si>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</si>
  <si>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</si>
  <si>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</si>
  <si>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</si>
  <si>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</si>
  <si>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</si>
  <si>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</si>
  <si>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</si>
  <si>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</si>
  <si>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</si>
  <si>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</si>
  <si>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</si>
  <si>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</si>
  <si>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</si>
  <si>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</si>
  <si>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</si>
  <si>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</si>
  <si>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</si>
  <si>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</si>
  <si>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</si>
  <si>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</si>
  <si>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</si>
  <si>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</si>
  <si>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</si>
  <si>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</si>
  <si>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</si>
  <si>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</si>
  <si>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</si>
  <si>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</si>
  <si>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</si>
  <si>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</si>
  <si>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</si>
  <si>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</si>
  <si>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</si>
  <si>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</si>
  <si>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</si>
  <si>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</si>
  <si>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</si>
  <si>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</si>
  <si>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</si>
  <si>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</si>
  <si>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</si>
  <si>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</si>
  <si>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</si>
  <si>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</si>
  <si>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</si>
  <si>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</si>
  <si>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</si>
  <si>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</si>
  <si>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</si>
  <si>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</si>
  <si>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</si>
  <si>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</si>
  <si>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</si>
  <si>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</si>
  <si>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</si>
  <si>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</si>
  <si>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</si>
  <si>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</si>
  <si>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</si>
  <si>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</si>
  <si>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</si>
  <si>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</si>
  <si>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</si>
  <si>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</si>
  <si>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</si>
  <si>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</si>
  <si>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</si>
  <si>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</si>
  <si>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</si>
  <si>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</si>
  <si>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</si>
  <si>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</si>
  <si>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</si>
  <si>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</si>
  <si>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</si>
  <si>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</si>
  <si>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</si>
  <si>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</si>
  <si>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</si>
  <si>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</si>
  <si>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</si>
  <si>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</si>
  <si>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</si>
  <si>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</si>
  <si>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</si>
  <si>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</si>
  <si>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</si>
  <si>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</si>
  <si>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</si>
  <si>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</si>
  <si>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</si>
  <si>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</si>
  <si>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</si>
  <si>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</si>
  <si>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</si>
  <si>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</si>
  <si>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</si>
  <si>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</si>
  <si>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</si>
  <si>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</si>
  <si>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</si>
  <si>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</si>
  <si>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</si>
  <si>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</si>
  <si>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</si>
  <si>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</si>
  <si>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</si>
  <si>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</si>
  <si>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</si>
  <si>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</si>
  <si>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</si>
  <si>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</si>
  <si>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</si>
  <si>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</si>
  <si>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</si>
  <si>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</si>
  <si>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</si>
  <si>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</si>
  <si>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</si>
  <si>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</si>
  <si>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</si>
  <si>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</si>
  <si>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</si>
  <si>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</si>
  <si>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</si>
  <si>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</si>
  <si>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</si>
  <si>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</si>
  <si>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</si>
  <si>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</si>
  <si>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</si>
  <si>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</si>
  <si>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</si>
  <si>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</si>
  <si>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</si>
  <si>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</si>
  <si>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</si>
  <si>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</si>
  <si>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</si>
  <si>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</si>
  <si>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</si>
  <si>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</si>
  <si>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</si>
  <si>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</si>
  <si>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</si>
  <si>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</si>
  <si>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</si>
  <si>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</si>
  <si>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</si>
  <si>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</si>
  <si>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</si>
  <si>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</si>
  <si>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</si>
  <si>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</si>
  <si>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</si>
  <si>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</si>
  <si>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</si>
  <si>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</si>
  <si>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</si>
  <si>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</si>
  <si>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</si>
  <si>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</si>
  <si>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</si>
  <si>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</si>
  <si>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</si>
  <si>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</si>
  <si>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</si>
  <si>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</si>
  <si>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</si>
  <si>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</si>
  <si>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</si>
  <si>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</si>
  <si>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</si>
  <si>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</si>
  <si>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</si>
  <si>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</si>
  <si>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</si>
  <si>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</si>
  <si>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</si>
  <si>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</si>
  <si>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</si>
  <si>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</si>
  <si>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</si>
  <si>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</si>
  <si>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</si>
  <si>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</si>
  <si>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</si>
  <si>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</si>
  <si>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</si>
  <si>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</si>
  <si>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</si>
  <si>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</si>
  <si>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</si>
  <si>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</si>
  <si>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</si>
  <si>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</si>
  <si>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</si>
  <si>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</si>
  <si>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</si>
  <si>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</si>
  <si>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</si>
  <si>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</si>
  <si>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</si>
  <si>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</si>
  <si>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</si>
  <si>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</si>
  <si>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</si>
  <si>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</si>
  <si>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</si>
  <si>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</si>
  <si>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</si>
  <si>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</si>
  <si>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</si>
  <si>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</si>
  <si>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</si>
  <si>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</si>
  <si>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</si>
  <si>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</si>
  <si>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</si>
  <si>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</si>
  <si>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</si>
  <si>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</si>
  <si>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</si>
  <si>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</si>
  <si>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</si>
  <si>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</si>
  <si>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</si>
  <si>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</si>
  <si>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</si>
  <si>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</si>
  <si>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</si>
  <si>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</si>
  <si>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</si>
  <si>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</si>
  <si>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</si>
  <si>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</si>
  <si>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</si>
  <si>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</si>
  <si>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</si>
  <si>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</si>
  <si>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</si>
  <si>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</si>
  <si>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</si>
  <si>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</si>
  <si>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</si>
  <si>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</si>
  <si>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</si>
  <si>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</si>
  <si>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</si>
  <si>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</si>
  <si>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</si>
  <si>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</si>
  <si>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</si>
  <si>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</si>
  <si>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</si>
  <si>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</si>
  <si>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</si>
  <si>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</si>
  <si>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</si>
  <si>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</si>
  <si>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</si>
  <si>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</si>
  <si>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</si>
  <si>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</si>
  <si>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</si>
  <si>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</si>
  <si>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</si>
  <si>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</si>
  <si>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</si>
  <si>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</si>
  <si>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</si>
  <si>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</si>
  <si>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</si>
  <si>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</si>
  <si>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</si>
  <si>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</si>
  <si>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</si>
  <si>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</si>
  <si>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</si>
  <si>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</si>
  <si>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</si>
  <si>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</si>
  <si>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</si>
  <si>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</si>
  <si>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</si>
  <si>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</si>
  <si>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</si>
  <si>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</si>
  <si>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</si>
  <si>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</si>
  <si>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</si>
  <si>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</si>
  <si>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</si>
  <si>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</si>
  <si>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</si>
  <si>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</si>
  <si>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</si>
  <si>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</si>
  <si>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</si>
  <si>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</si>
  <si>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</si>
  <si>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</si>
  <si>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</si>
  <si>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</si>
  <si>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</si>
  <si>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</si>
  <si>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</si>
  <si>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</si>
  <si>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</si>
  <si>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</si>
  <si>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</si>
  <si>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</si>
  <si>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</si>
  <si>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</si>
  <si>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</si>
  <si>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</si>
  <si>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</si>
  <si>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</si>
  <si>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</si>
  <si>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</si>
  <si>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</si>
  <si>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</si>
  <si>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</si>
  <si>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</si>
  <si>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</si>
  <si>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</si>
  <si>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</si>
  <si>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</si>
  <si>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</si>
  <si>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</si>
  <si>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</si>
  <si>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</si>
  <si>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</si>
  <si>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</si>
  <si>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</si>
  <si>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</si>
  <si>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</si>
  <si>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</si>
  <si>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</si>
  <si>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</si>
  <si>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</si>
  <si>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</si>
  <si>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</si>
  <si>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</si>
  <si>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</si>
  <si>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</si>
  <si>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</si>
  <si>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</si>
  <si>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</si>
  <si>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</si>
  <si>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</si>
  <si>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</si>
  <si>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</si>
  <si>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</si>
  <si>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</si>
  <si>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</si>
  <si>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</si>
  <si>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</si>
  <si>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</si>
  <si>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</si>
  <si>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</si>
  <si>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</si>
  <si>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</si>
  <si>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</si>
  <si>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</si>
  <si>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</si>
  <si>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</si>
  <si>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</si>
  <si>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</si>
  <si>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</si>
  <si>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</si>
  <si>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</si>
  <si>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</si>
  <si>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</si>
  <si>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</si>
  <si>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</si>
  <si>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</si>
  <si>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</si>
  <si>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</si>
  <si>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</si>
  <si>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</si>
  <si>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</si>
  <si>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</si>
  <si>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</si>
  <si>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</si>
  <si>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</si>
  <si>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</si>
  <si>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</si>
  <si>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</si>
  <si>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</si>
  <si>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</si>
  <si>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</si>
  <si>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</si>
  <si>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</si>
  <si>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</si>
  <si>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</si>
  <si>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</si>
  <si>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</si>
  <si>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</si>
  <si>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</si>
  <si>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</si>
  <si>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</si>
  <si>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</si>
  <si>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</si>
  <si>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</si>
  <si>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</si>
  <si>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</si>
  <si>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</si>
  <si>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</si>
  <si>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</si>
  <si>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</si>
  <si>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</si>
  <si>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</si>
  <si>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</si>
  <si>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</si>
  <si>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</si>
  <si>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</si>
  <si>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</si>
  <si>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</si>
  <si>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</si>
  <si>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</si>
  <si>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</si>
  <si>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</si>
  <si>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</si>
  <si>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</si>
  <si>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</si>
  <si>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</si>
  <si>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</si>
  <si>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</si>
  <si>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</si>
  <si>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</si>
  <si>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</si>
  <si>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</si>
  <si>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</si>
  <si>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</si>
  <si>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</si>
  <si>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</si>
  <si>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</si>
  <si>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</si>
  <si>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</si>
  <si>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</si>
  <si>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</si>
  <si>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</si>
  <si>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</si>
  <si>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</si>
  <si>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</si>
  <si>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</si>
  <si>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</si>
  <si>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</si>
  <si>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</si>
  <si>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</si>
  <si>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</si>
  <si>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</si>
  <si>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</si>
  <si>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</si>
  <si>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</si>
  <si>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</si>
  <si>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</si>
  <si>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</si>
  <si>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</si>
  <si>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</si>
  <si>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</si>
  <si>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</si>
  <si>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</si>
  <si>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</si>
  <si>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</si>
  <si>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</si>
  <si>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</si>
  <si>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</si>
  <si>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</si>
  <si>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</si>
  <si>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</si>
  <si>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</si>
  <si>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</si>
  <si>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</si>
  <si>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</si>
  <si>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</si>
  <si>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</si>
  <si>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</si>
  <si>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</si>
  <si>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</si>
  <si>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</si>
  <si>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</si>
  <si>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</si>
  <si>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</si>
  <si>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</si>
  <si>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</si>
  <si>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</si>
  <si>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</si>
  <si>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</si>
  <si>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</si>
  <si>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</si>
  <si>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</si>
  <si>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</si>
  <si>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</si>
  <si>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</si>
  <si>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</si>
  <si>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</si>
  <si>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</si>
  <si>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</si>
  <si>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</si>
  <si>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</si>
  <si>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</si>
  <si>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</si>
  <si>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</si>
  <si>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</si>
  <si>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</si>
  <si>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</si>
  <si>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</si>
  <si>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</si>
  <si>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</si>
  <si>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</si>
  <si>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</si>
  <si>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</si>
  <si>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</si>
  <si>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</si>
  <si>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</si>
  <si>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</si>
  <si>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</si>
  <si>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</si>
  <si>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</si>
  <si>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</si>
  <si>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</si>
  <si>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</si>
  <si>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</si>
  <si>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</si>
  <si>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</si>
  <si>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</si>
  <si>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</si>
  <si>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</si>
  <si>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</si>
  <si>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</si>
  <si>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</si>
  <si>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</si>
  <si>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</si>
  <si>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</si>
  <si>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</si>
  <si>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</si>
  <si>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</si>
  <si>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</si>
  <si>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</si>
  <si>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</si>
  <si>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</si>
  <si>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</si>
  <si>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</si>
  <si>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</si>
  <si>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</si>
  <si>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</si>
  <si>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</si>
  <si>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</si>
  <si>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</si>
  <si>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</si>
  <si>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</si>
  <si>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</si>
  <si>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</si>
  <si>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</si>
  <si>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</si>
  <si>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</si>
  <si>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</si>
  <si>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</si>
  <si>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</si>
  <si>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</si>
  <si>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</si>
  <si>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</si>
  <si>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</si>
  <si>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</si>
  <si>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</si>
  <si>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</si>
  <si>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</si>
  <si>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</si>
  <si>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</si>
  <si>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</si>
  <si>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</si>
  <si>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</si>
  <si>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</si>
  <si>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</si>
  <si>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</si>
  <si>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</si>
  <si>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</si>
  <si>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</si>
  <si>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</si>
  <si>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</si>
  <si>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</si>
  <si>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</si>
  <si>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</si>
  <si>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</si>
  <si>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</si>
  <si>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</si>
  <si>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</si>
  <si>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</si>
  <si>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</si>
  <si>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</si>
  <si>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</si>
  <si>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</si>
  <si>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</si>
  <si>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</si>
  <si>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</si>
  <si>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</si>
  <si>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</si>
  <si>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</si>
  <si>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</si>
  <si>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</si>
  <si>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</si>
  <si>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</si>
  <si>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</si>
  <si>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</si>
  <si>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</si>
  <si>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</si>
  <si>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</si>
  <si>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</si>
  <si>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</si>
  <si>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</si>
  <si>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</si>
  <si>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</si>
  <si>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</si>
  <si>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</si>
  <si>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</si>
  <si>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</si>
  <si>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</si>
  <si>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</si>
  <si>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</si>
  <si>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</si>
  <si>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</si>
  <si>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</si>
  <si>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</si>
  <si>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</si>
  <si>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</si>
  <si>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</si>
  <si>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</si>
  <si>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</si>
  <si>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</si>
  <si>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</si>
  <si>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</si>
  <si>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</si>
  <si>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</si>
  <si>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</si>
  <si>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</si>
  <si>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</si>
  <si>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</si>
  <si>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</si>
  <si>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</si>
  <si>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</si>
  <si>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</si>
  <si>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</si>
  <si>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</si>
  <si>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</si>
  <si>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</si>
  <si>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</si>
  <si>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</si>
  <si>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</si>
  <si>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</si>
  <si>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</si>
  <si>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</si>
  <si>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</si>
  <si>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</si>
  <si>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</si>
  <si>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</si>
  <si>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</si>
  <si>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</si>
  <si>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</si>
  <si>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</si>
  <si>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</si>
  <si>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</si>
  <si>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</si>
  <si>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</si>
  <si>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</si>
  <si>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</si>
  <si>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</si>
  <si>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</si>
  <si>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</si>
  <si>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</si>
  <si>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</si>
  <si>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</si>
  <si>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</si>
  <si>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</si>
  <si>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</si>
  <si>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</si>
  <si>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</si>
  <si>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</si>
  <si>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</si>
  <si>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</si>
  <si>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</si>
  <si>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</si>
  <si>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</si>
  <si>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</si>
  <si>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</si>
  <si>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</si>
  <si>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</si>
  <si>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</si>
  <si>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</si>
  <si>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</si>
  <si>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</si>
  <si>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</si>
  <si>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</si>
  <si>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</si>
  <si>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</si>
  <si>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</si>
  <si>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</si>
  <si>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</si>
  <si>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</si>
  <si>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</si>
  <si>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</si>
  <si>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</si>
  <si>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</si>
  <si>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</si>
  <si>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</si>
  <si>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</si>
  <si>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</si>
  <si>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</si>
  <si>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</si>
  <si>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</si>
  <si>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</si>
  <si>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</si>
  <si>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</si>
  <si>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</si>
  <si>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</si>
  <si>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</si>
  <si>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</si>
  <si>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</si>
  <si>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</si>
  <si>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</si>
  <si>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</si>
  <si>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</si>
  <si>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</si>
  <si>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</si>
  <si>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</si>
  <si>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</si>
  <si>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</si>
  <si>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</si>
  <si>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</si>
  <si>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</si>
  <si>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</si>
  <si>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</si>
  <si>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</si>
  <si>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</si>
  <si>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</si>
  <si>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</si>
  <si>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</si>
  <si>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</si>
  <si>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</si>
  <si>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</si>
  <si>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</si>
  <si>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</si>
  <si>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</si>
  <si>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</si>
  <si>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</si>
  <si>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</si>
  <si>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</si>
  <si>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</si>
  <si>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</si>
  <si>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</si>
  <si>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</si>
  <si>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</si>
  <si>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</si>
  <si>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</si>
  <si>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</si>
  <si>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</si>
  <si>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</si>
  <si>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</si>
  <si>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</si>
  <si>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</si>
  <si>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</si>
  <si>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</si>
  <si>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</si>
  <si>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</si>
  <si>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</si>
  <si>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</si>
  <si>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</si>
  <si>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</si>
  <si>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</si>
  <si>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</si>
  <si>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</si>
  <si>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</si>
  <si>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</si>
  <si>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</si>
  <si>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</si>
  <si>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</si>
  <si>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</si>
  <si>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</si>
  <si>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</si>
  <si>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</si>
  <si>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</si>
  <si>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</si>
  <si>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</si>
  <si>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</si>
  <si>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</si>
  <si>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</si>
  <si>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</si>
  <si>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</si>
  <si>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</si>
  <si>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</si>
  <si>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</si>
  <si>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</si>
  <si>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</si>
  <si>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</si>
  <si>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</si>
  <si>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</si>
  <si>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</si>
  <si>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</si>
  <si>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</si>
  <si>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</si>
  <si>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</si>
  <si>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</si>
  <si>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</si>
  <si>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</si>
  <si>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</si>
  <si>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</si>
  <si>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</si>
  <si>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</si>
  <si>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</si>
  <si>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</si>
  <si>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</si>
  <si>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</si>
  <si>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</si>
  <si>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</si>
  <si>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</si>
  <si>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</si>
  <si>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</si>
  <si>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</si>
  <si>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</si>
  <si>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</si>
  <si>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</si>
  <si>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</si>
  <si>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</si>
  <si>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</si>
  <si>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</si>
  <si>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</si>
  <si>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</si>
  <si>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</si>
  <si>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</si>
  <si>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</si>
  <si>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</si>
  <si>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</si>
  <si>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</si>
  <si>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</si>
  <si>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</si>
  <si>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</si>
  <si>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</si>
  <si>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</si>
  <si>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</si>
  <si>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</si>
  <si>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</si>
  <si>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</si>
  <si>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</si>
  <si>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</si>
  <si>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</si>
  <si>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</si>
  <si>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</si>
  <si>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</si>
  <si>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</si>
  <si>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</si>
  <si>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</si>
  <si>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</si>
  <si>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</si>
  <si>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</si>
  <si>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</si>
  <si>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</si>
  <si>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</si>
  <si>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</si>
  <si>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</si>
  <si>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</si>
  <si>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</si>
  <si>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</si>
  <si>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</si>
  <si>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</si>
  <si>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</si>
  <si>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</si>
  <si>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</si>
  <si>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</si>
  <si>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</si>
  <si>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</si>
  <si>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</si>
  <si>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</si>
  <si>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</si>
  <si>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</si>
  <si>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</si>
  <si>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</si>
  <si>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</si>
  <si>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</si>
  <si>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</si>
  <si>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</si>
  <si>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</si>
  <si>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</si>
  <si>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</si>
  <si>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</si>
  <si>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</si>
  <si>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</si>
  <si>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</si>
  <si>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</si>
  <si>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</si>
  <si>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</si>
  <si>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</si>
  <si>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</si>
  <si>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</si>
  <si>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</si>
  <si>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</si>
  <si>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</si>
  <si>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</si>
  <si>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</si>
  <si>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</si>
  <si>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</si>
  <si>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</si>
  <si>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</si>
  <si>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</si>
  <si>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</si>
  <si>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</si>
  <si>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</si>
  <si>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</si>
  <si>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</si>
  <si>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</si>
  <si>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</si>
  <si>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</si>
  <si>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</si>
  <si>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</si>
  <si>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</si>
  <si>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</si>
  <si>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</si>
  <si>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</si>
  <si>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</si>
  <si>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</si>
  <si>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</si>
  <si>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</si>
  <si>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</si>
  <si>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</si>
  <si>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</si>
  <si>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</si>
  <si>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</si>
  <si>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</si>
  <si>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</si>
  <si>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</si>
  <si>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</si>
  <si>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</si>
  <si>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</si>
  <si>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</si>
  <si>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</si>
  <si>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</si>
  <si>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</si>
  <si>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</si>
  <si>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</si>
  <si>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</si>
  <si>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</si>
  <si>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</si>
  <si>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</si>
  <si>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</si>
  <si>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</si>
  <si>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</si>
  <si>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</si>
  <si>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</si>
  <si>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</si>
  <si>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</si>
  <si>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</si>
  <si>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</si>
  <si>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</si>
  <si>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</si>
  <si>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</si>
  <si>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</si>
  <si>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</si>
  <si>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</si>
  <si>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</si>
  <si>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</si>
  <si>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</si>
  <si>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</si>
  <si>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</si>
  <si>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</si>
  <si>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</si>
  <si>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</si>
  <si>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</si>
  <si>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</si>
  <si>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</si>
  <si>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</si>
  <si>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</si>
  <si>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</si>
  <si>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</si>
  <si>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</si>
  <si>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</si>
  <si>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</si>
  <si>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</si>
  <si>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</si>
  <si>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</si>
  <si>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</si>
  <si>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</si>
  <si>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</si>
  <si>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</si>
  <si>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</si>
  <si>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</si>
  <si>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</si>
  <si>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</si>
  <si>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</si>
  <si>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</si>
  <si>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</si>
  <si>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</si>
  <si>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</si>
  <si>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</si>
  <si>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</si>
  <si>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</si>
  <si>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</si>
  <si>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</si>
  <si>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</si>
  <si>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</si>
  <si>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</si>
  <si>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</si>
  <si>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</si>
  <si>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</si>
  <si>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</si>
  <si>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</si>
  <si>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</si>
  <si>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</si>
  <si>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</si>
  <si>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</si>
  <si>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</si>
  <si>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</si>
  <si>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</si>
  <si>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</si>
  <si>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</si>
  <si>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</si>
  <si>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</si>
  <si>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</si>
  <si>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</si>
  <si>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</si>
  <si>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</si>
  <si>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</si>
  <si>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</si>
  <si>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</si>
  <si>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</si>
  <si>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</si>
  <si>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</si>
  <si>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</si>
  <si>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</si>
  <si>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</si>
  <si>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</si>
  <si>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</si>
  <si>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</si>
  <si>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</si>
  <si>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</si>
  <si>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</si>
  <si>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</si>
  <si>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</si>
  <si>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</si>
  <si>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</si>
  <si>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</si>
  <si>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</si>
  <si>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</si>
  <si>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</si>
  <si>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</si>
  <si>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</si>
  <si>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</si>
  <si>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</si>
  <si>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</si>
  <si>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</si>
  <si>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</si>
  <si>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</si>
  <si>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</si>
  <si>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</si>
  <si>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</si>
  <si>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</si>
  <si>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</si>
  <si>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</si>
  <si>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</si>
  <si>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</si>
  <si>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</si>
  <si>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</si>
  <si>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</si>
  <si>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</si>
  <si>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</si>
  <si>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</si>
  <si>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</si>
  <si>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</si>
  <si>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</si>
  <si>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</si>
  <si>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</si>
  <si>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</si>
  <si>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</si>
  <si>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</si>
  <si>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</si>
  <si>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</si>
  <si>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</si>
  <si>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</si>
  <si>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</si>
  <si>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</si>
  <si>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</si>
  <si>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</si>
  <si>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</si>
  <si>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</si>
  <si>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</si>
  <si>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</si>
  <si>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</si>
  <si>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</si>
  <si>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</si>
  <si>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</si>
  <si>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</si>
  <si>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</si>
  <si>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</si>
  <si>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</si>
  <si>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</si>
  <si>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</si>
  <si>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</si>
  <si>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</si>
  <si>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</si>
  <si>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</si>
  <si>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</si>
  <si>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</si>
  <si>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</si>
  <si>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</si>
  <si>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</si>
  <si>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</si>
  <si>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</si>
  <si>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</si>
  <si>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</si>
  <si>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</si>
  <si>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</si>
  <si>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</si>
  <si>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</si>
  <si>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</si>
  <si>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</si>
  <si>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</si>
  <si>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</si>
  <si>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</si>
  <si>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</si>
  <si>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</si>
  <si>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</si>
  <si>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</si>
  <si>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</si>
  <si>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</si>
  <si>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</si>
  <si>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</si>
  <si>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</si>
  <si>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</si>
  <si>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</si>
  <si>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</si>
  <si>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</si>
  <si>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</si>
  <si>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</si>
  <si>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</si>
  <si>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</si>
  <si>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</si>
  <si>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</si>
  <si>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</si>
  <si>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</si>
  <si>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</si>
  <si>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</si>
  <si>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</si>
  <si>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</si>
  <si>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</si>
  <si>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</si>
  <si>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</si>
  <si>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</si>
  <si>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</si>
  <si>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</si>
  <si>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</si>
  <si>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</si>
  <si>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</si>
  <si>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</si>
  <si>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</si>
  <si>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</si>
  <si>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</si>
  <si>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</si>
  <si>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</si>
  <si>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</si>
  <si>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</si>
  <si>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</si>
  <si>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</si>
  <si>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</si>
  <si>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</si>
  <si>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</si>
  <si>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</si>
  <si>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</si>
  <si>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</si>
  <si>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</si>
  <si>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</si>
  <si>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</si>
  <si>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</si>
  <si>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</si>
  <si>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</si>
  <si>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</si>
  <si>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</si>
  <si>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</si>
  <si>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</si>
  <si>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</si>
  <si>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</si>
  <si>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</si>
  <si>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</si>
  <si>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</si>
  <si>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</si>
  <si>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</si>
  <si>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</si>
  <si>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</si>
  <si>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</si>
  <si>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</si>
  <si>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</si>
  <si>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</si>
  <si>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</si>
  <si>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</si>
  <si>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</si>
  <si>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</si>
  <si>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</si>
  <si>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</si>
  <si>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</si>
  <si>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</si>
  <si>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</si>
  <si>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</si>
  <si>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</si>
  <si>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</si>
  <si>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</si>
  <si>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</si>
  <si>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</si>
  <si>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</si>
  <si>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</si>
  <si>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</si>
  <si>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</si>
  <si>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</si>
  <si>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</si>
  <si>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</si>
  <si>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</si>
  <si>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</si>
  <si>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</si>
  <si>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</si>
  <si>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</si>
  <si>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</si>
  <si>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</si>
  <si>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</si>
  <si>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</si>
  <si>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</si>
  <si>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</si>
  <si>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</si>
  <si>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</si>
  <si>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</si>
  <si>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</si>
  <si>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</si>
  <si>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</si>
  <si>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</si>
  <si>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</si>
  <si>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</si>
  <si>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</si>
  <si>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</si>
  <si>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</si>
  <si>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</si>
  <si>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</si>
  <si>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</si>
  <si>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</si>
  <si>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</si>
  <si>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</si>
  <si>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</si>
  <si>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</si>
  <si>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</si>
  <si>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</si>
  <si>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</si>
  <si>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</si>
  <si>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</si>
  <si>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</si>
  <si>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</si>
  <si>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</si>
  <si>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</si>
  <si>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</si>
  <si>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</si>
  <si>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</si>
  <si>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</si>
  <si>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</si>
  <si>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</si>
  <si>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</si>
  <si>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</si>
  <si>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</si>
  <si>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</si>
  <si>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</si>
  <si>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</si>
  <si>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</si>
  <si>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</si>
  <si>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</si>
  <si>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</si>
  <si>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</si>
  <si>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</si>
  <si>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</si>
  <si>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</si>
  <si>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</si>
  <si>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</si>
  <si>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</si>
  <si>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</si>
  <si>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</si>
  <si>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</si>
  <si>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</si>
  <si>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</si>
  <si>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</si>
  <si>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</si>
  <si>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</si>
  <si>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</si>
  <si>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</si>
  <si>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</si>
  <si>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</si>
  <si>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</si>
  <si>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</si>
  <si>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</si>
  <si>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</si>
  <si>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</si>
  <si>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</si>
  <si>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</si>
  <si>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</si>
  <si>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</si>
  <si>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</si>
  <si>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</si>
  <si>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</si>
  <si>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</si>
  <si>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</si>
  <si>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</si>
  <si>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</si>
  <si>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</si>
  <si>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</si>
  <si>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</si>
  <si>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</si>
  <si>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</si>
  <si>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</si>
  <si>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</si>
  <si>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</si>
  <si>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</si>
  <si>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</si>
  <si>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</si>
  <si>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</si>
  <si>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</si>
  <si>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</si>
  <si>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</si>
  <si>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</si>
  <si>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</si>
  <si>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</si>
  <si>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</si>
  <si>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</si>
  <si>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</si>
  <si>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</si>
  <si>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</si>
  <si>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</si>
  <si>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</si>
  <si>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</si>
  <si>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</si>
  <si>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</si>
  <si>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</si>
  <si>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</si>
  <si>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</si>
  <si>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</si>
  <si>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</si>
  <si>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</si>
  <si>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</si>
  <si>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</si>
  <si>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</si>
  <si>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</si>
  <si>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</si>
  <si>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</si>
  <si>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</si>
  <si>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</si>
  <si>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</si>
  <si>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</si>
  <si>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</si>
  <si>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</si>
  <si>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</si>
  <si>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</si>
  <si>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</si>
  <si>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</si>
  <si>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</si>
  <si>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</si>
  <si>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</si>
  <si>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</si>
  <si>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</si>
  <si>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</si>
  <si>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</si>
  <si>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</si>
  <si>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</si>
  <si>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</si>
  <si>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</si>
  <si>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</si>
  <si>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</si>
  <si>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</si>
  <si>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</si>
  <si>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</si>
  <si>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</si>
  <si>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</si>
  <si>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</si>
  <si>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</si>
  <si>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</si>
  <si>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</si>
  <si>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</si>
  <si>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</si>
  <si>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</si>
  <si>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</si>
  <si>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</si>
  <si>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</si>
  <si>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</si>
  <si>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</si>
  <si>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</si>
  <si>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</si>
  <si>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</si>
  <si>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</si>
  <si>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</si>
  <si>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</si>
  <si>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</si>
  <si>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</si>
  <si>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</si>
  <si>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</si>
  <si>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</si>
  <si>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</si>
  <si>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</si>
  <si>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</si>
  <si>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</si>
  <si>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</si>
  <si>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</si>
  <si>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</si>
  <si>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</si>
  <si>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</si>
  <si>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</si>
  <si>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</si>
  <si>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</si>
  <si>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</si>
  <si>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</si>
  <si>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</si>
  <si>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</si>
  <si>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</si>
  <si>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</si>
  <si>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</si>
  <si>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</si>
  <si>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</si>
  <si>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</si>
  <si>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</si>
  <si>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</si>
  <si>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</si>
  <si>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</si>
  <si>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</si>
  <si>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</si>
  <si>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</si>
  <si>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</si>
  <si>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</si>
  <si>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</si>
  <si>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</si>
  <si>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</si>
  <si>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</si>
  <si>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</si>
  <si>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</si>
  <si>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</si>
  <si>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</si>
  <si>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</si>
  <si>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</si>
  <si>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</si>
  <si>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</si>
  <si>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</si>
  <si>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</si>
  <si>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</si>
  <si>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</si>
  <si>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</si>
  <si>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</si>
  <si>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</si>
  <si>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</si>
  <si>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</si>
  <si>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</si>
  <si>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</si>
  <si>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</si>
  <si>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</si>
  <si>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</si>
  <si>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</si>
  <si>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</si>
  <si>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</si>
  <si>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</si>
  <si>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</si>
  <si>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</si>
  <si>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</si>
  <si>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</si>
  <si>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</si>
  <si>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</si>
  <si>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</si>
  <si>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</si>
  <si>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</si>
  <si>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</si>
  <si>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</si>
  <si>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</si>
  <si>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</si>
  <si>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</si>
  <si>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</si>
  <si>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</si>
  <si>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</si>
  <si>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</si>
  <si>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</si>
  <si>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</si>
  <si>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</si>
  <si>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</si>
  <si>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</si>
  <si>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</si>
  <si>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</si>
  <si>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</si>
  <si>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</si>
  <si>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</si>
  <si>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</si>
  <si>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</si>
  <si>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</si>
  <si>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</si>
  <si>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</si>
  <si>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</si>
  <si>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</si>
  <si>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</si>
  <si>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</si>
  <si>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</si>
  <si>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</si>
  <si>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</si>
  <si>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</si>
  <si>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</si>
  <si>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</si>
  <si>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</si>
  <si>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</si>
  <si>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</si>
  <si>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</si>
  <si>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</si>
  <si>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</si>
  <si>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</si>
  <si>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</si>
  <si>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</si>
  <si>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</si>
  <si>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</si>
  <si>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</si>
  <si>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</si>
  <si>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</si>
  <si>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</si>
  <si>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</si>
  <si>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</si>
  <si>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</si>
  <si>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</si>
  <si>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</si>
  <si>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</si>
  <si>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</si>
  <si>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</si>
  <si>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</si>
  <si>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</si>
  <si>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</si>
  <si>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</si>
  <si>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</si>
  <si>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</si>
  <si>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</si>
  <si>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</si>
  <si>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</si>
  <si>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</si>
  <si>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</si>
  <si>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</si>
  <si>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</si>
  <si>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</si>
  <si>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</si>
  <si>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</si>
  <si>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</si>
  <si>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</si>
  <si>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</si>
  <si>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</si>
  <si>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</si>
  <si>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</si>
  <si>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</si>
  <si>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</si>
  <si>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</si>
  <si>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</si>
  <si>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</si>
  <si>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</si>
  <si>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</si>
  <si>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</si>
  <si>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</si>
  <si>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</si>
  <si>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</si>
  <si>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</si>
  <si>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</si>
  <si>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</si>
  <si>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</si>
  <si>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</si>
  <si>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</si>
  <si>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</si>
  <si>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</si>
  <si>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</si>
  <si>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</si>
  <si>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</si>
  <si>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</si>
  <si>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</si>
  <si>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</si>
  <si>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</si>
  <si>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</si>
  <si>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</si>
  <si>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</si>
  <si>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</si>
  <si>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</si>
  <si>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</si>
  <si>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</si>
  <si>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</si>
  <si>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</si>
  <si>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</si>
  <si>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</si>
  <si>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</si>
  <si>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</si>
  <si>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</si>
  <si>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</si>
  <si>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</si>
  <si>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</si>
  <si>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</si>
  <si>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</si>
  <si>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</si>
  <si>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</si>
  <si>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</si>
  <si>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</si>
  <si>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</si>
  <si>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</si>
  <si>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</si>
  <si>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</si>
  <si>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</si>
  <si>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</si>
  <si>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</si>
  <si>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</si>
  <si>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</si>
  <si>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</si>
  <si>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</si>
  <si>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</si>
  <si>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</si>
  <si>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</si>
  <si>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</si>
  <si>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</si>
  <si>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</si>
  <si>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</si>
  <si>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</si>
  <si>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</si>
  <si>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</si>
  <si>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</si>
  <si>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</si>
  <si>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</si>
  <si>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</si>
  <si>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</si>
  <si>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</si>
  <si>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</si>
  <si>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</si>
  <si>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</si>
  <si>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</si>
  <si>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</si>
  <si>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</si>
  <si>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</si>
  <si>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</si>
  <si>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</si>
  <si>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</si>
  <si>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</si>
  <si>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</si>
  <si>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</si>
  <si>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</si>
  <si>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</si>
  <si>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</si>
  <si>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</si>
  <si>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</si>
  <si>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</si>
  <si>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</si>
  <si>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</si>
  <si>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</si>
  <si>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</si>
  <si>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</si>
  <si>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</si>
  <si>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</si>
  <si>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</si>
  <si>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</si>
  <si>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</si>
  <si>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</si>
  <si>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</si>
  <si>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</si>
  <si>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</si>
  <si>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</si>
  <si>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</si>
  <si>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</si>
  <si>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</si>
  <si>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</si>
  <si>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</si>
  <si>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</si>
  <si>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</si>
  <si>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</si>
  <si>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</si>
  <si>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</si>
  <si>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</si>
  <si>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</si>
  <si>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</si>
  <si>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</si>
  <si>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</si>
  <si>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</si>
  <si>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</si>
  <si>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</si>
  <si>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</si>
  <si>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</si>
  <si>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</si>
  <si>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</si>
  <si>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</si>
  <si>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</si>
  <si>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</si>
  <si>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</si>
  <si>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</si>
  <si>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</si>
  <si>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</si>
  <si>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</si>
  <si>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</si>
  <si>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</si>
  <si>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</si>
  <si>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</si>
  <si>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</si>
  <si>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</si>
  <si>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</si>
  <si>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</si>
  <si>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</si>
  <si>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</si>
  <si>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</si>
  <si>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</si>
  <si>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</si>
  <si>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</si>
  <si>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</si>
  <si>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</si>
  <si>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</si>
  <si>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</si>
  <si>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</si>
  <si>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</si>
  <si>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</si>
  <si>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</si>
  <si>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</si>
  <si>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</si>
  <si>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</si>
  <si>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</si>
  <si>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</si>
  <si>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</si>
  <si>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</si>
  <si>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</si>
  <si>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</si>
  <si>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</si>
  <si>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</si>
  <si>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</si>
  <si>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</si>
  <si>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</si>
  <si>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</si>
  <si>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</si>
  <si>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</si>
  <si>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</si>
  <si>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</si>
  <si>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</si>
  <si>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</si>
  <si>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</si>
  <si>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</si>
  <si>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</si>
  <si>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</si>
  <si>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</si>
  <si>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</si>
  <si>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</si>
  <si>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</si>
  <si>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</si>
  <si>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</si>
  <si>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</si>
  <si>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</si>
  <si>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</si>
  <si>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</si>
  <si>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</si>
  <si>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</si>
  <si>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</si>
  <si>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</si>
  <si>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</si>
  <si>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</si>
  <si>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</si>
  <si>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</si>
  <si>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</si>
  <si>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</si>
  <si>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</si>
  <si>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</si>
  <si>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</si>
  <si>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</si>
  <si>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</si>
  <si>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</si>
  <si>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</si>
  <si>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</si>
  <si>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</si>
  <si>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</si>
  <si>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</si>
  <si>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</si>
  <si>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</si>
  <si>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</si>
  <si>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</si>
  <si>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</si>
  <si>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</si>
  <si>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</si>
  <si>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</si>
  <si>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</si>
  <si>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</si>
  <si>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</si>
  <si>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</si>
  <si>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</si>
  <si>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</si>
  <si>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</si>
  <si>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</si>
  <si>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</si>
  <si>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</si>
  <si>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</si>
  <si>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</si>
  <si>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</si>
  <si>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</si>
  <si>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</si>
  <si>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</si>
  <si>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</si>
  <si>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</si>
  <si>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</si>
  <si>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</si>
  <si>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</si>
  <si>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</si>
  <si>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</si>
  <si>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</si>
  <si>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</si>
  <si>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</si>
  <si>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</si>
  <si>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</si>
  <si>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</si>
  <si>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</si>
  <si>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</si>
  <si>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</si>
  <si>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</si>
  <si>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</si>
  <si>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</si>
  <si>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</si>
  <si>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</si>
  <si>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</si>
  <si>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</si>
  <si>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</si>
  <si>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</si>
  <si>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</si>
  <si>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</si>
  <si>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</si>
  <si>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</si>
  <si>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</si>
  <si>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</si>
  <si>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</si>
  <si>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</si>
  <si>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</si>
  <si>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</si>
  <si>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</si>
  <si>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</si>
  <si>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</si>
  <si>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</si>
  <si>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</si>
  <si>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</si>
  <si>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</si>
  <si>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</si>
  <si>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</si>
  <si>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</si>
  <si>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</si>
  <si>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</si>
  <si>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</si>
  <si>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</si>
  <si>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</si>
  <si>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</si>
  <si>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</si>
  <si>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</si>
  <si>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</si>
  <si>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</si>
  <si>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</si>
  <si>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</si>
  <si>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</si>
  <si>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</si>
  <si>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</si>
  <si>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</si>
  <si>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</si>
  <si>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</si>
  <si>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</si>
  <si>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</si>
  <si>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</si>
  <si>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</si>
  <si>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</si>
  <si>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</si>
  <si>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</si>
  <si>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</si>
  <si>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</si>
  <si>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</si>
  <si>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</si>
  <si>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</si>
  <si>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</si>
  <si>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</si>
  <si>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</si>
  <si>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</si>
  <si>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</si>
  <si>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</si>
  <si>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</si>
  <si>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</si>
  <si>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</si>
  <si>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</si>
  <si>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</si>
  <si>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</si>
  <si>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</si>
  <si>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</si>
  <si>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</si>
  <si>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</si>
  <si>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</si>
  <si>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</si>
  <si>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</si>
  <si>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</si>
  <si>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</si>
  <si>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</si>
  <si>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</si>
  <si>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</si>
  <si>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</si>
  <si>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</si>
  <si>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</si>
  <si>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</si>
  <si>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</si>
  <si>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</si>
  <si>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</si>
  <si>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</si>
  <si>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</si>
  <si>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</si>
  <si>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</si>
  <si>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</si>
  <si>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</si>
  <si>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</si>
  <si>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</si>
  <si>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</si>
  <si>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</si>
  <si>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</si>
  <si>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</si>
  <si>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</si>
  <si>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</si>
  <si>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</si>
  <si>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</si>
  <si>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</si>
  <si>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</si>
  <si>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</si>
  <si>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</si>
  <si>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</si>
  <si>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</si>
  <si>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</si>
  <si>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</si>
  <si>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</si>
  <si>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</si>
  <si>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</si>
  <si>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</si>
  <si>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</si>
  <si>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</si>
  <si>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</si>
  <si>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</si>
  <si>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</si>
  <si>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</si>
  <si>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</si>
  <si>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</si>
  <si>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</si>
  <si>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</si>
  <si>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</si>
  <si>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</si>
  <si>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</si>
  <si>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</si>
  <si>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</si>
  <si>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</si>
  <si>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</si>
  <si>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</si>
  <si>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</si>
  <si>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</si>
  <si>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</si>
  <si>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</si>
  <si>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</si>
  <si>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</si>
  <si>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</si>
  <si>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</si>
  <si>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</si>
  <si>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</si>
  <si>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</si>
  <si>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</si>
  <si>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</si>
  <si>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</si>
  <si>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</si>
  <si>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</si>
  <si>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</si>
  <si>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</si>
  <si>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</si>
  <si>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</si>
  <si>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</si>
  <si>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</si>
  <si>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</si>
  <si>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</si>
  <si>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</si>
  <si>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</si>
  <si>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</si>
  <si>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</si>
  <si>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</si>
  <si>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</si>
  <si>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</si>
  <si>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</si>
  <si>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</si>
  <si>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</si>
  <si>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</si>
  <si>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</si>
  <si>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</si>
  <si>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</si>
  <si>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</si>
  <si>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</si>
  <si>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</si>
  <si>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</si>
  <si>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</si>
  <si>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</si>
  <si>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</si>
  <si>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</si>
  <si>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</si>
  <si>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</si>
  <si>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</si>
  <si>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</si>
  <si>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</si>
  <si>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</si>
  <si>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</si>
  <si>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</si>
  <si>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</si>
  <si>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</si>
  <si>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</si>
  <si>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</si>
  <si>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</si>
  <si>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</si>
  <si>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</si>
  <si>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</si>
  <si>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</si>
  <si>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</si>
  <si>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</si>
  <si>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</si>
  <si>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</si>
  <si>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</si>
  <si>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</si>
  <si>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</si>
  <si>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</si>
  <si>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</si>
  <si>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</si>
  <si>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</si>
  <si>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</si>
  <si>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</si>
  <si>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</si>
  <si>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</si>
  <si>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</si>
  <si>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</si>
  <si>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</si>
  <si>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</si>
  <si>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</si>
  <si>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</si>
  <si>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</si>
  <si>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</si>
  <si>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</si>
  <si>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</si>
  <si>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</si>
  <si>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</si>
  <si>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</si>
  <si>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</si>
  <si>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</si>
  <si>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</si>
  <si>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</si>
  <si>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</si>
  <si>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</si>
  <si>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</si>
  <si>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</si>
  <si>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</si>
  <si>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</si>
  <si>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</si>
  <si>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</si>
  <si>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</si>
  <si>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</si>
  <si>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</si>
  <si>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</si>
  <si>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</si>
  <si>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</si>
  <si>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</si>
  <si>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</si>
  <si>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</si>
  <si>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</si>
  <si>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</si>
  <si>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</si>
  <si>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</si>
  <si>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</si>
  <si>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</si>
  <si>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</si>
  <si>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</si>
  <si>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</si>
  <si>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</si>
  <si>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</si>
  <si>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</si>
  <si>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</si>
  <si>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</si>
  <si>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</si>
  <si>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</si>
  <si>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</si>
  <si>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</si>
  <si>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</si>
  <si>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</si>
  <si>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</si>
  <si>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</si>
  <si>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</si>
  <si>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</si>
  <si>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</si>
  <si>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</si>
  <si>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</si>
  <si>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</si>
  <si>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</si>
  <si>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</si>
  <si>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</si>
  <si>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</si>
  <si>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</si>
  <si>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</si>
  <si>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</si>
  <si>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</si>
  <si>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</si>
  <si>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</si>
  <si>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</si>
  <si>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</si>
  <si>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</si>
  <si>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</si>
  <si>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</si>
  <si>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</si>
  <si>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</si>
  <si>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</si>
  <si>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</si>
  <si>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</si>
  <si>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</si>
  <si>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</si>
  <si>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</si>
  <si>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</si>
  <si>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</si>
  <si>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</si>
  <si>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</si>
  <si>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</si>
  <si>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</si>
  <si>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</si>
  <si>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</si>
  <si>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</si>
  <si>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</si>
  <si>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</si>
  <si>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</si>
  <si>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</si>
  <si>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</si>
  <si>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</si>
  <si>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</si>
  <si>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</si>
  <si>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</si>
  <si>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</si>
  <si>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</si>
  <si>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</si>
  <si>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</si>
  <si>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</si>
  <si>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</si>
  <si>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</si>
  <si>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</si>
  <si>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</si>
  <si>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</si>
  <si>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</si>
  <si>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</si>
  <si>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</si>
  <si>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</si>
  <si>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</si>
  <si>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</si>
  <si>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</si>
  <si>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</si>
  <si>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</si>
  <si>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</si>
  <si>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</si>
  <si>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</si>
  <si>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</si>
  <si>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</si>
  <si>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</si>
  <si>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</si>
  <si>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</si>
  <si>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</si>
  <si>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</si>
  <si>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</si>
  <si>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</si>
  <si>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</si>
  <si>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</si>
  <si>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</si>
  <si>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</si>
  <si>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</si>
  <si>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</si>
  <si>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</si>
  <si>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</si>
  <si>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</si>
  <si>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</si>
  <si>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</si>
  <si>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</si>
  <si>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</si>
  <si>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</si>
  <si>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</si>
  <si>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</si>
  <si>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</si>
  <si>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</si>
  <si>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</si>
  <si>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</si>
  <si>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</si>
  <si>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</si>
  <si>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</si>
  <si>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</si>
  <si>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</si>
  <si>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</si>
  <si>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</si>
  <si>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</si>
  <si>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</si>
  <si>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</si>
  <si>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</si>
  <si>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</si>
  <si>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</si>
  <si>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</si>
  <si>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</si>
  <si>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</si>
  <si>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</si>
  <si>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</si>
  <si>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</si>
  <si>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</si>
  <si>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</si>
  <si>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</si>
  <si>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</si>
  <si>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</si>
  <si>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</si>
  <si>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</si>
  <si>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</si>
  <si>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</si>
  <si>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</si>
  <si>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</si>
  <si>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</si>
  <si>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</si>
  <si>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</si>
  <si>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</si>
  <si>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</si>
  <si>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</si>
  <si>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</si>
  <si>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</si>
  <si>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</si>
  <si>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</si>
  <si>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</si>
  <si>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</si>
  <si>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</si>
  <si>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</si>
  <si>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</si>
  <si>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</si>
  <si>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</si>
  <si>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</si>
  <si>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</si>
  <si>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</si>
  <si>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</si>
  <si>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</si>
  <si>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</si>
  <si>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</si>
  <si>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</si>
  <si>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</si>
  <si>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</si>
  <si>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</si>
  <si>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</si>
  <si>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</si>
  <si>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</si>
  <si>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</si>
  <si>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</si>
  <si>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</si>
  <si>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</si>
  <si>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</si>
  <si>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</si>
  <si>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</si>
  <si>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</si>
  <si>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</si>
  <si>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</si>
  <si>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</si>
  <si>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</si>
  <si>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</si>
  <si>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</si>
  <si>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</si>
  <si>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</si>
  <si>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</si>
  <si>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</si>
  <si>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</si>
  <si>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</si>
  <si>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</si>
  <si>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</si>
  <si>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</si>
  <si>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</si>
  <si>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</si>
  <si>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</si>
  <si>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</si>
  <si>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</si>
  <si>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</si>
  <si>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</si>
  <si>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</si>
  <si>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</si>
  <si>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</si>
  <si>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</si>
  <si>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</si>
  <si>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</si>
  <si>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</si>
  <si>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</si>
  <si>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</si>
  <si>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</si>
  <si>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</si>
  <si>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</si>
  <si>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</si>
  <si>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</si>
  <si>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</si>
  <si>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</si>
  <si>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</si>
  <si>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</si>
  <si>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</si>
  <si>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</si>
  <si>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</si>
  <si>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</si>
  <si>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</si>
  <si>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</si>
  <si>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</si>
  <si>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</si>
  <si>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</si>
  <si>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</si>
  <si>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</si>
  <si>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</si>
  <si>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</si>
  <si>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</si>
  <si>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</si>
  <si>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</si>
  <si>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</si>
  <si>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</si>
  <si>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</si>
  <si>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</si>
  <si>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</si>
  <si>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</si>
  <si>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</si>
  <si>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</si>
  <si>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</si>
  <si>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</si>
  <si>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</si>
  <si>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</si>
  <si>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</si>
  <si>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</si>
  <si>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</si>
  <si>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</si>
  <si>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</si>
  <si>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</si>
  <si>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</si>
  <si>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</si>
  <si>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</si>
  <si>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</si>
  <si>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</si>
  <si>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</si>
  <si>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</si>
  <si>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</si>
  <si>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</si>
  <si>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</si>
  <si>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</si>
  <si>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</si>
  <si>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</si>
  <si>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</si>
  <si>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</si>
  <si>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</si>
  <si>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</si>
  <si>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</si>
  <si>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</si>
  <si>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</si>
  <si>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</si>
  <si>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</si>
  <si>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</si>
  <si>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</si>
  <si>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</si>
  <si>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</si>
  <si>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</si>
  <si>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</si>
  <si>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</si>
  <si>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</si>
  <si>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</si>
  <si>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</si>
  <si>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</si>
  <si>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</si>
  <si>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</si>
  <si>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</si>
  <si>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</si>
  <si>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</si>
  <si>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</si>
  <si>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</si>
  <si>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</si>
  <si>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</si>
  <si>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</si>
  <si>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</si>
  <si>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</si>
  <si>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</si>
  <si>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</si>
  <si>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</si>
  <si>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</si>
  <si>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</si>
  <si>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</si>
  <si>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</si>
  <si>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</si>
  <si>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</si>
  <si>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</si>
  <si>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</si>
  <si>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</si>
  <si>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</si>
  <si>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</si>
  <si>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</si>
  <si>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</si>
  <si>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</si>
  <si>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</si>
  <si>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</si>
  <si>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</si>
  <si>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</si>
  <si>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</si>
  <si>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</si>
  <si>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</si>
  <si>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</si>
  <si>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</si>
  <si>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</si>
  <si>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</si>
  <si>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</si>
  <si>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</si>
  <si>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</si>
  <si>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</si>
  <si>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</si>
  <si>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</si>
  <si>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</si>
  <si>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</si>
  <si>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</si>
  <si>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</si>
  <si>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</si>
  <si>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</si>
  <si>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</si>
  <si>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</si>
  <si>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</si>
  <si>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</si>
  <si>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</si>
  <si>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</si>
  <si>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</si>
  <si>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</si>
  <si>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</si>
  <si>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</si>
  <si>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</si>
  <si>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</si>
  <si>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</si>
  <si>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</si>
  <si>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</si>
  <si>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</si>
  <si>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</si>
  <si>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</si>
  <si>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</si>
  <si>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</si>
  <si>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</si>
  <si>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</si>
  <si>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</si>
  <si>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</si>
  <si>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</si>
  <si>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</si>
  <si>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</si>
  <si>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</si>
  <si>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</si>
  <si>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</si>
  <si>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</si>
  <si>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</si>
  <si>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</si>
  <si>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</si>
  <si>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</si>
  <si>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</si>
  <si>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</si>
  <si>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</si>
  <si>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</si>
  <si>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</si>
  <si>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</si>
  <si>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</si>
  <si>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</si>
  <si>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</si>
  <si>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</si>
  <si>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</si>
  <si>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</si>
  <si>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</si>
  <si>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</si>
  <si>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</si>
  <si>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</si>
  <si>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</si>
  <si>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</si>
  <si>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</si>
  <si>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</si>
  <si>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</si>
  <si>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</si>
  <si>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</si>
  <si>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</si>
  <si>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</si>
  <si>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</si>
  <si>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</si>
  <si>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</si>
  <si>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</si>
  <si>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</si>
  <si>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</si>
  <si>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</si>
  <si>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</si>
  <si>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</si>
  <si>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</si>
  <si>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</si>
  <si>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</si>
  <si>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</si>
  <si>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</si>
  <si>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</si>
  <si>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</si>
  <si>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</si>
  <si>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</si>
  <si>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</si>
  <si>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</si>
  <si>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</si>
  <si>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</si>
  <si>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</si>
  <si>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</si>
  <si>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</si>
  <si>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</si>
  <si>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</si>
  <si>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</si>
  <si>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</si>
  <si>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</si>
  <si>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</si>
  <si>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</si>
  <si>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</si>
  <si>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</si>
  <si>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</si>
  <si>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</si>
  <si>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</si>
  <si>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</si>
  <si>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</si>
  <si>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</si>
  <si>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</si>
  <si>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</si>
  <si>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</si>
  <si>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</si>
  <si>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</si>
  <si>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</si>
  <si>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</si>
  <si>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</si>
  <si>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</si>
  <si>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</si>
  <si>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</si>
  <si>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</si>
  <si>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</si>
  <si>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</si>
  <si>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</si>
  <si>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</si>
  <si>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</si>
  <si>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</si>
  <si>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</si>
  <si>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</si>
  <si>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</si>
  <si>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</si>
  <si>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</si>
  <si>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</si>
  <si>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</si>
  <si>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</si>
  <si>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</si>
  <si>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</si>
  <si>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</si>
  <si>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</si>
  <si>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</si>
  <si>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</si>
  <si>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</si>
  <si>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</si>
  <si>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</si>
  <si>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</si>
  <si>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</si>
  <si>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</si>
  <si>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</si>
  <si>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</si>
  <si>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</si>
  <si>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</si>
  <si>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</si>
  <si>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</si>
  <si>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</si>
  <si>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</si>
  <si>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</si>
  <si>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</si>
  <si>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</si>
  <si>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</si>
  <si>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</si>
  <si>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</si>
  <si>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</si>
  <si>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</si>
  <si>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</si>
  <si>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</si>
  <si>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</si>
  <si>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</si>
  <si>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</si>
  <si>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</si>
  <si>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</si>
  <si>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</si>
  <si>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</si>
  <si>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</si>
  <si>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</si>
  <si>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</si>
  <si>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</si>
  <si>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</si>
  <si>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</si>
  <si>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</si>
  <si>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</si>
  <si>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</si>
  <si>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</si>
  <si>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</si>
  <si>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</si>
  <si>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</si>
  <si>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</si>
  <si>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</si>
  <si>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</si>
  <si>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</si>
  <si>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</si>
  <si>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</si>
  <si>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</si>
  <si>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</si>
  <si>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</si>
  <si>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</si>
  <si>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</si>
  <si>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</si>
  <si>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</si>
  <si>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</si>
  <si>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</si>
  <si>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</si>
  <si>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</si>
  <si>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</si>
  <si>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</si>
  <si>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</si>
  <si>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</si>
  <si>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</si>
  <si>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</si>
  <si>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</si>
  <si>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</si>
  <si>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</si>
  <si>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</si>
  <si>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</si>
  <si>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</si>
  <si>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</si>
  <si>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</si>
  <si>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</si>
  <si>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</si>
  <si>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</si>
  <si>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</si>
  <si>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</si>
  <si>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</si>
  <si>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</si>
  <si>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</si>
  <si>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</si>
  <si>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</si>
  <si>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</si>
  <si>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</si>
  <si>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</si>
  <si>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</si>
  <si>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</si>
  <si>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</si>
  <si>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</si>
  <si>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</si>
  <si>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</si>
  <si>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</si>
  <si>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</si>
  <si>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</si>
  <si>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</si>
  <si>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</si>
  <si>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</si>
  <si>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</si>
  <si>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</si>
  <si>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</si>
  <si>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</si>
  <si>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</si>
  <si>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</si>
  <si>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</si>
  <si>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</si>
  <si>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</si>
  <si>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</si>
  <si>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</si>
  <si>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</si>
  <si>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</si>
  <si>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</si>
  <si>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</si>
  <si>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</si>
  <si>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</si>
  <si>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</si>
  <si>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</si>
  <si>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</si>
  <si>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</si>
  <si>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</si>
  <si>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</si>
  <si>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</si>
  <si>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</si>
  <si>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</si>
  <si>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</si>
  <si>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</si>
  <si>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</si>
  <si>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</si>
  <si>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</si>
  <si>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</si>
  <si>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</si>
  <si>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</si>
  <si>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</si>
  <si>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</si>
  <si>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</si>
  <si>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</si>
  <si>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</si>
  <si>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</si>
  <si>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</si>
  <si>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</si>
  <si>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</si>
  <si>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</si>
  <si>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</si>
  <si>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</si>
  <si>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</si>
  <si>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</si>
  <si>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</si>
  <si>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</si>
  <si>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</si>
  <si>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</si>
  <si>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</si>
  <si>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</si>
  <si>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</si>
  <si>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</si>
  <si>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</si>
  <si>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</si>
  <si>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</si>
  <si>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</si>
  <si>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</si>
  <si>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</si>
  <si>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</si>
  <si>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</si>
  <si>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</si>
  <si>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</si>
  <si>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</si>
  <si>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</si>
  <si>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</si>
  <si>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</si>
  <si>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</si>
  <si>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</si>
  <si>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</si>
  <si>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</si>
  <si>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</si>
  <si>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</si>
  <si>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</si>
  <si>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</si>
  <si>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</si>
  <si>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</si>
  <si>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</si>
  <si>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</si>
  <si>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</si>
  <si>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</si>
  <si>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</si>
  <si>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</si>
  <si>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</si>
  <si>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</si>
  <si>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</si>
  <si>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</si>
  <si>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</si>
  <si>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</si>
  <si>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</si>
  <si>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</si>
  <si>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</si>
  <si>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</si>
  <si>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</si>
  <si>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</si>
  <si>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</si>
  <si>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</si>
  <si>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</si>
  <si>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</si>
  <si>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</si>
  <si>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</si>
  <si>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</si>
  <si>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</si>
  <si>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</si>
  <si>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</si>
  <si>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</si>
  <si>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</si>
  <si>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</si>
  <si>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</si>
  <si>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</si>
  <si>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</si>
  <si>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</si>
  <si>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</si>
  <si>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</si>
  <si>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</si>
  <si>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</si>
  <si>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</si>
  <si>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</si>
  <si>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</si>
  <si>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</si>
  <si>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</si>
  <si>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</si>
  <si>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</si>
  <si>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</si>
  <si>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</si>
  <si>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</si>
  <si>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</si>
  <si>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</si>
  <si>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</si>
  <si>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</si>
  <si>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</si>
  <si>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</si>
  <si>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</si>
  <si>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</si>
  <si>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</si>
  <si>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</si>
  <si>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</si>
  <si>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</si>
  <si>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</si>
  <si>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</si>
  <si>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</si>
  <si>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</si>
  <si>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</si>
  <si>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</si>
  <si>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</si>
  <si>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</si>
  <si>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</si>
  <si>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</si>
  <si>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</si>
  <si>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</si>
  <si>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</si>
  <si>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</si>
  <si>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</si>
  <si>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</si>
  <si>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</si>
  <si>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</si>
  <si>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</si>
  <si>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</si>
  <si>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</si>
  <si>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</si>
  <si>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</si>
  <si>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</si>
  <si>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</si>
  <si>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</si>
  <si>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</si>
  <si>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</si>
  <si>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</si>
  <si>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</si>
  <si>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</si>
  <si>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</si>
  <si>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</si>
  <si>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</si>
  <si>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</si>
  <si>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</si>
  <si>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</si>
  <si>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</si>
  <si>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</si>
  <si>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</si>
  <si>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</si>
  <si>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</si>
  <si>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</si>
  <si>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</si>
  <si>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</si>
  <si>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</si>
  <si>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</si>
  <si>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</si>
  <si>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</si>
  <si>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</si>
  <si>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</si>
  <si>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</si>
  <si>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</si>
  <si>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</si>
  <si>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</si>
  <si>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</si>
  <si>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</si>
  <si>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</si>
  <si>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</si>
  <si>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</si>
  <si>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</si>
  <si>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</si>
  <si>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</si>
  <si>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</si>
  <si>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</si>
  <si>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</si>
  <si>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</si>
  <si>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</si>
  <si>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</si>
  <si>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</si>
  <si>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</si>
  <si>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</si>
  <si>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</si>
  <si>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</si>
  <si>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</si>
  <si>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</si>
  <si>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</si>
  <si>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</si>
  <si>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</si>
  <si>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</si>
  <si>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</si>
  <si>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</si>
  <si>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</si>
  <si>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</si>
  <si>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</si>
  <si>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</si>
  <si>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</si>
  <si>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</si>
  <si>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</si>
  <si>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</si>
  <si>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</si>
  <si>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</si>
  <si>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</si>
  <si>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</si>
  <si>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</si>
  <si>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</si>
  <si>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</si>
  <si>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</si>
  <si>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</si>
  <si>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</si>
  <si>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</si>
  <si>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</si>
  <si>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</si>
  <si>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</si>
  <si>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</si>
  <si>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</si>
  <si>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</si>
  <si>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</si>
  <si>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</si>
  <si>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</si>
  <si>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</si>
  <si>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</si>
  <si>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</si>
  <si>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</si>
  <si>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</si>
  <si>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</si>
  <si>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</si>
  <si>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</si>
  <si>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</si>
  <si>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</si>
  <si>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</si>
  <si>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</si>
  <si>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</si>
  <si>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</si>
  <si>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</si>
  <si>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</si>
  <si>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</si>
  <si>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</si>
  <si>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</si>
  <si>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</si>
  <si>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</si>
  <si>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</si>
  <si>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</si>
  <si>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</si>
  <si>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</si>
  <si>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</si>
  <si>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</si>
  <si>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</si>
  <si>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</si>
  <si>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</si>
  <si>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</si>
  <si>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</si>
  <si>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</si>
  <si>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</si>
  <si>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</si>
  <si>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</si>
  <si>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</si>
  <si>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</si>
  <si>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</si>
  <si>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</si>
  <si>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</si>
  <si>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</si>
  <si>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</si>
  <si>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</si>
  <si>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</si>
  <si>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</si>
  <si>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</si>
  <si>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</si>
  <si>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</si>
  <si>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</si>
  <si>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</si>
  <si>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</si>
  <si>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</si>
  <si>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</si>
  <si>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</si>
  <si>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</si>
  <si>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</si>
  <si>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</si>
  <si>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</si>
  <si>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</si>
  <si>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</si>
  <si>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</si>
  <si>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</si>
  <si>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</si>
  <si>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</si>
  <si>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</si>
  <si>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</si>
  <si>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</si>
  <si>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</si>
  <si>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</si>
  <si>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</si>
  <si>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</si>
  <si>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</si>
  <si>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</si>
  <si>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</si>
  <si>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</si>
  <si>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</si>
  <si>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</si>
  <si>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</si>
  <si>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</si>
  <si>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</si>
  <si>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</si>
  <si>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</si>
  <si>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</si>
  <si>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</si>
  <si>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</si>
  <si>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</si>
  <si>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</si>
  <si>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</si>
  <si>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</si>
  <si>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</si>
  <si>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</si>
  <si>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</si>
  <si>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</si>
  <si>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</si>
  <si>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</si>
  <si>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</si>
  <si>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</si>
  <si>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</si>
  <si>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</si>
  <si>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</si>
  <si>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</si>
  <si>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</si>
  <si>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</si>
  <si>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</si>
  <si>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</si>
  <si>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</si>
  <si>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</si>
  <si>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</si>
  <si>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</si>
  <si>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</si>
  <si>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</si>
  <si>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</si>
  <si>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</si>
  <si>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</si>
  <si>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</si>
  <si>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</si>
  <si>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</si>
  <si>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</si>
  <si>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</si>
  <si>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</si>
  <si>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</si>
  <si>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</si>
  <si>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</si>
  <si>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</si>
  <si>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</si>
  <si>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</si>
  <si>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</si>
  <si>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</si>
  <si>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</si>
  <si>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</si>
  <si>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</si>
  <si>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</si>
  <si>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</si>
  <si>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</si>
  <si>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</si>
  <si>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</si>
  <si>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</si>
  <si>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</si>
  <si>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</si>
  <si>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</si>
  <si>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</si>
  <si>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</si>
  <si>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</si>
  <si>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</si>
  <si>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</si>
  <si>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</si>
  <si>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</si>
  <si>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</si>
  <si>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</si>
  <si>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</si>
  <si>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</si>
  <si>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</si>
  <si>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</si>
  <si>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</si>
  <si>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</si>
  <si>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</si>
  <si>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</si>
  <si>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</si>
  <si>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</si>
  <si>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</si>
  <si>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</si>
  <si>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</si>
  <si>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</si>
  <si>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</si>
  <si>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</si>
  <si>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</si>
  <si>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</si>
  <si>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</si>
  <si>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</si>
  <si>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</si>
  <si>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</si>
  <si>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</si>
  <si>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</si>
  <si>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</si>
  <si>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</si>
  <si>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</si>
  <si>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</si>
  <si>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</si>
  <si>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</si>
  <si>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</si>
  <si>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</si>
  <si>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</si>
  <si>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</si>
  <si>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</si>
  <si>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</si>
  <si>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</si>
  <si>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</si>
  <si>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</si>
  <si>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</si>
  <si>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</si>
  <si>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</si>
  <si>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</si>
  <si>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</si>
  <si>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</si>
  <si>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</si>
  <si>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</si>
  <si>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</si>
  <si>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</si>
  <si>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</si>
  <si>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</si>
  <si>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</si>
  <si>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</si>
  <si>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</si>
  <si>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</si>
  <si>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</si>
  <si>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</si>
  <si>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</si>
  <si>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</si>
  <si>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</si>
  <si>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</si>
  <si>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</si>
  <si>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</si>
  <si>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</si>
  <si>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</si>
  <si>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</si>
  <si>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</si>
  <si>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</si>
  <si>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</si>
  <si>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</si>
  <si>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</si>
  <si>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</si>
  <si>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</si>
  <si>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</si>
  <si>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</si>
  <si>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</si>
  <si>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</si>
  <si>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</si>
  <si>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</si>
  <si>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</si>
  <si>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</si>
  <si>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</si>
  <si>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</si>
  <si>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</si>
  <si>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</si>
  <si>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</si>
  <si>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</si>
  <si>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</si>
  <si>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</si>
  <si>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</si>
  <si>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</si>
  <si>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</si>
  <si>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</si>
  <si>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</si>
  <si>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</si>
  <si>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</si>
  <si>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</si>
  <si>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</si>
  <si>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</si>
  <si>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</si>
  <si>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</si>
  <si>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</si>
  <si>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</si>
  <si>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</si>
  <si>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</si>
  <si>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</si>
  <si>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</si>
  <si>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</si>
  <si>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</si>
  <si>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</si>
  <si>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</si>
  <si>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</si>
  <si>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</si>
  <si>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</si>
  <si>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</si>
  <si>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</si>
  <si>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</si>
  <si>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</si>
  <si>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</si>
  <si>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</si>
  <si>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</si>
  <si>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</si>
  <si>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</si>
  <si>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</si>
  <si>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</si>
  <si>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</si>
  <si>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</si>
  <si>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</si>
  <si>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</si>
  <si>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</si>
  <si>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</si>
  <si>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</si>
  <si>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</si>
  <si>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</si>
  <si>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</si>
  <si>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</si>
  <si>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</si>
  <si>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</si>
  <si>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</si>
  <si>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</si>
  <si>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</si>
  <si>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</si>
  <si>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</si>
  <si>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</si>
  <si>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</si>
  <si>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</si>
  <si>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</si>
  <si>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</si>
  <si>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</si>
  <si>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</si>
  <si>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</si>
  <si>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</si>
  <si>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</si>
  <si>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</si>
  <si>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</si>
  <si>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</si>
  <si>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</si>
  <si>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</si>
  <si>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</si>
  <si>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</si>
  <si>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</si>
  <si>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</si>
  <si>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</si>
  <si>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</si>
  <si>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</si>
  <si>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</si>
  <si>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</si>
  <si>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</si>
  <si>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</si>
  <si>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</si>
  <si>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</si>
  <si>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</si>
  <si>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</si>
  <si>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</si>
  <si>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</si>
  <si>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</si>
  <si>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</si>
  <si>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</si>
  <si>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</si>
  <si>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</si>
  <si>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</si>
  <si>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</si>
  <si>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</si>
  <si>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</si>
  <si>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</si>
  <si>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</si>
  <si>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</si>
  <si>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</si>
  <si>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</si>
  <si>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</si>
  <si>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</si>
  <si>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</si>
  <si>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</si>
  <si>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</si>
  <si>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</si>
  <si>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</si>
  <si>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</si>
  <si>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</si>
  <si>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</si>
  <si>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</si>
  <si>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</si>
  <si>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</si>
  <si>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</si>
  <si>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</si>
  <si>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</si>
  <si>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</si>
  <si>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</si>
  <si>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</si>
  <si>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</si>
  <si>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</si>
  <si>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</si>
  <si>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</si>
  <si>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</si>
  <si>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</si>
  <si>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</si>
  <si>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</si>
  <si>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</si>
  <si>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</si>
  <si>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</si>
  <si>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</si>
  <si>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</si>
  <si>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</si>
  <si>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</si>
  <si>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</si>
  <si>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</si>
  <si>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</si>
  <si>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</si>
  <si>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</si>
  <si>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</si>
  <si>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</si>
  <si>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</si>
  <si>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</si>
  <si>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</si>
  <si>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</si>
  <si>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</si>
  <si>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</si>
  <si>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</si>
  <si>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</si>
  <si>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</si>
  <si>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</si>
  <si>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</si>
  <si>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</si>
  <si>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</si>
  <si>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</si>
  <si>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</si>
  <si>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</si>
  <si>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</si>
  <si>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</si>
  <si>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</si>
  <si>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</si>
  <si>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</si>
  <si>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</si>
  <si>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</si>
  <si>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</si>
  <si>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</si>
  <si>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</si>
  <si>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</si>
  <si>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</si>
  <si>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</si>
  <si>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</si>
  <si>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</si>
  <si>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</si>
  <si>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</si>
  <si>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</si>
  <si>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</si>
  <si>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</si>
  <si>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</si>
  <si>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</si>
  <si>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</si>
  <si>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</si>
  <si>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</si>
  <si>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</si>
  <si>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</si>
  <si>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</si>
  <si>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</si>
  <si>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</si>
  <si>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</si>
  <si>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</si>
  <si>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</si>
  <si>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</si>
  <si>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</si>
  <si>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</si>
  <si>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</si>
  <si>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</si>
  <si>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</si>
  <si>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</si>
  <si>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</si>
  <si>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</si>
  <si>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</si>
  <si>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</si>
  <si>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</si>
  <si>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</si>
  <si>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</si>
  <si>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</si>
  <si>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</si>
  <si>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</si>
  <si>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</si>
  <si>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</si>
  <si>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</si>
  <si>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</si>
  <si>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</si>
  <si>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</si>
  <si>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</si>
  <si>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</si>
  <si>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</si>
  <si>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</si>
  <si>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</si>
  <si>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</si>
  <si>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</si>
  <si>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</si>
  <si>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</si>
  <si>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</si>
  <si>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</si>
  <si>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</si>
  <si>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</si>
  <si>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</si>
  <si>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</si>
  <si>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</si>
  <si>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</si>
  <si>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</si>
  <si>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</si>
  <si>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</si>
  <si>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</si>
  <si>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</si>
  <si>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</si>
  <si>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</si>
  <si>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</si>
  <si>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</si>
  <si>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</si>
  <si>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</si>
  <si>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</si>
  <si>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</si>
  <si>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</si>
  <si>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</si>
  <si>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</si>
  <si>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</si>
  <si>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</si>
  <si>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</si>
  <si>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</si>
  <si>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</si>
  <si>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</si>
  <si>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</si>
  <si>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</si>
  <si>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</si>
  <si>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</si>
  <si>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</si>
  <si>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</si>
  <si>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</si>
  <si>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</si>
  <si>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</si>
  <si>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</si>
  <si>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</si>
  <si>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</si>
  <si>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</si>
  <si>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</si>
  <si>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</si>
  <si>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</si>
  <si>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</si>
  <si>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</si>
  <si>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</si>
  <si>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</si>
  <si>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</si>
  <si>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</si>
  <si>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</si>
  <si>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</si>
  <si>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</si>
  <si>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</si>
  <si>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</si>
  <si>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</si>
  <si>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</si>
  <si>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</si>
  <si>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</si>
  <si>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</si>
  <si>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</si>
  <si>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</si>
  <si>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</si>
  <si>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</si>
  <si>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</si>
  <si>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</si>
  <si>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</si>
  <si>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</si>
  <si>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</si>
  <si>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</si>
  <si>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</si>
  <si>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</si>
  <si>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</si>
  <si>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</si>
  <si>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</si>
  <si>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</si>
  <si>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</si>
  <si>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</si>
  <si>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</si>
  <si>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</si>
  <si>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</si>
  <si>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</si>
  <si>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</si>
  <si>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</si>
  <si>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</si>
  <si>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</si>
  <si>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</si>
  <si>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</si>
  <si>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</si>
  <si>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</si>
  <si>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</si>
  <si>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</si>
  <si>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</si>
  <si>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</si>
  <si>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</si>
  <si>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</si>
  <si>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</si>
  <si>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</si>
  <si>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</si>
  <si>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</si>
  <si>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</si>
  <si>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</si>
  <si>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</si>
  <si>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</si>
  <si>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</si>
  <si>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</si>
  <si>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</si>
  <si>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</si>
  <si>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</si>
  <si>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</si>
  <si>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</si>
  <si>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</si>
  <si>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</si>
  <si>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</si>
  <si>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</si>
  <si>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</si>
  <si>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</si>
  <si>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</si>
  <si>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</si>
  <si>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</si>
  <si>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</si>
  <si>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</si>
  <si>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</si>
  <si>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</si>
  <si>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</si>
  <si>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</si>
  <si>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</si>
  <si>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</si>
  <si>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</si>
  <si>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</si>
  <si>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</si>
  <si>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</si>
  <si>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</si>
  <si>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</si>
  <si>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</si>
  <si>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</si>
  <si>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</si>
  <si>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</si>
  <si>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</si>
  <si>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</si>
  <si>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</si>
  <si>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</si>
  <si>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</si>
  <si>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</si>
  <si>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</si>
  <si>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</si>
  <si>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</si>
  <si>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</si>
  <si>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</si>
  <si>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</si>
  <si>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</si>
  <si>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</si>
  <si>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</si>
  <si>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</si>
  <si>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</si>
  <si>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</si>
  <si>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</si>
  <si>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</si>
  <si>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</si>
  <si>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</si>
  <si>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</si>
  <si>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</si>
  <si>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</si>
  <si>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</si>
  <si>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</si>
  <si>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</si>
  <si>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</si>
  <si>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</si>
  <si>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</si>
  <si>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</si>
  <si>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</si>
  <si>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</si>
  <si>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</si>
  <si>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</si>
  <si>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</si>
  <si>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</si>
  <si>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</si>
  <si>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</si>
  <si>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</si>
  <si>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</si>
  <si>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</si>
  <si>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</si>
  <si>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</si>
  <si>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</si>
  <si>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</si>
  <si>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</si>
  <si>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</si>
  <si>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</si>
  <si>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</si>
  <si>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</si>
  <si>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</si>
  <si>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</si>
  <si>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</si>
  <si>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</si>
  <si>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</si>
  <si>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</si>
  <si>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</si>
  <si>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</si>
  <si>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</si>
  <si>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</si>
  <si>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</si>
  <si>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</si>
  <si>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</si>
  <si>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</si>
  <si>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</si>
  <si>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</si>
  <si>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</si>
  <si>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</si>
  <si>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</si>
  <si>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</si>
  <si>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</si>
  <si>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</si>
  <si>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</si>
  <si>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</si>
  <si>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</si>
  <si>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</si>
  <si>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</si>
  <si>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</si>
  <si>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</si>
  <si>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</si>
  <si>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</si>
  <si>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</si>
  <si>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</si>
  <si>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</si>
  <si>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</si>
  <si>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</si>
  <si>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</si>
  <si>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</si>
  <si>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</si>
  <si>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</si>
  <si>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</si>
  <si>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</si>
  <si>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</si>
  <si>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</si>
  <si>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</si>
  <si>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</si>
  <si>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</si>
  <si>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</si>
  <si>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</si>
  <si>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</si>
  <si>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</si>
  <si>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</si>
  <si>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</si>
  <si>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</si>
  <si>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</si>
  <si>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</si>
  <si>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</si>
  <si>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</si>
  <si>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</si>
  <si>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</si>
  <si>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</si>
  <si>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</si>
  <si>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</si>
  <si>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</si>
  <si>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</si>
  <si>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</si>
  <si>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</si>
  <si>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</si>
  <si>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</si>
  <si>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</si>
  <si>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</si>
  <si>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</si>
  <si>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</si>
  <si>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</si>
  <si>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</si>
  <si>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</si>
  <si>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</si>
  <si>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</si>
  <si>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</si>
  <si>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</si>
  <si>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</si>
  <si>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</si>
  <si>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</si>
  <si>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</si>
  <si>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</si>
  <si>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</si>
  <si>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</si>
  <si>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</si>
  <si>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</si>
  <si>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</si>
  <si>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</si>
  <si>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</si>
  <si>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</si>
  <si>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</si>
  <si>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</si>
  <si>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</si>
  <si>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</si>
  <si>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</si>
  <si>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</si>
  <si>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</si>
  <si>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</si>
  <si>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</si>
  <si>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</si>
  <si>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</si>
  <si>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</si>
  <si>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</si>
  <si>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</si>
  <si>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</si>
  <si>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</si>
  <si>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</si>
  <si>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</si>
  <si>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</si>
  <si>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</si>
  <si>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</si>
  <si>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</si>
  <si>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</si>
  <si>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</si>
  <si>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</si>
  <si>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</si>
  <si>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</si>
  <si>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</si>
  <si>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</si>
  <si>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</si>
  <si>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</si>
  <si>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</si>
  <si>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</si>
  <si>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</si>
  <si>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</si>
  <si>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</si>
  <si>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</si>
  <si>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</si>
  <si>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</si>
  <si>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</si>
  <si>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</si>
  <si>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</si>
  <si>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</si>
  <si>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</si>
  <si>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</si>
  <si>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</si>
  <si>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</si>
  <si>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</si>
  <si>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</si>
  <si>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</si>
  <si>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</si>
  <si>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</si>
  <si>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</si>
  <si>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</si>
  <si>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</si>
  <si>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</si>
  <si>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</si>
  <si>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</si>
  <si>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</si>
  <si>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</si>
  <si>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</si>
  <si>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</si>
  <si>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</si>
  <si>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</si>
  <si>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</si>
  <si>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</si>
  <si>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</si>
  <si>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</si>
  <si>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</si>
  <si>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</si>
  <si>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</si>
  <si>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</si>
  <si>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</si>
  <si>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</si>
  <si>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</si>
  <si>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</si>
  <si>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</si>
  <si>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</si>
  <si>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</si>
  <si>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</si>
  <si>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</si>
  <si>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</si>
  <si>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</si>
  <si>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</si>
  <si>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</si>
  <si>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</si>
  <si>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</si>
  <si>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</si>
  <si>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</si>
  <si>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</si>
  <si>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</si>
  <si>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</si>
  <si>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</si>
  <si>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</si>
  <si>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</si>
  <si>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</si>
  <si>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</si>
  <si>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</si>
  <si>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</si>
  <si>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</si>
  <si>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</si>
  <si>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</si>
  <si>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</si>
  <si>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</si>
  <si>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</si>
  <si>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</si>
  <si>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</si>
  <si>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</si>
  <si>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</si>
  <si>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</si>
  <si>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</si>
  <si>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</si>
  <si>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</si>
  <si>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</si>
  <si>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</si>
  <si>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</si>
  <si>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</si>
  <si>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</si>
  <si>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</si>
  <si>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</si>
  <si>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</si>
  <si>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</si>
  <si>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</si>
  <si>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</si>
  <si>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</si>
  <si>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</si>
  <si>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</si>
  <si>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</si>
  <si>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</si>
  <si>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</si>
  <si>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</si>
  <si>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</si>
  <si>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</si>
  <si>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</si>
  <si>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</si>
  <si>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</si>
  <si>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</si>
  <si>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</si>
  <si>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</si>
  <si>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</si>
  <si>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</si>
  <si>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</si>
  <si>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</si>
  <si>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</si>
  <si>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</si>
  <si>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</si>
  <si>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</si>
  <si>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</si>
  <si>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</si>
  <si>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</si>
  <si>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</si>
  <si>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</si>
  <si>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</si>
  <si>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</si>
  <si>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</si>
  <si>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</si>
  <si>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</si>
  <si>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</si>
  <si>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</si>
  <si>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</si>
  <si>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</si>
  <si>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</si>
  <si>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</si>
  <si>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</si>
  <si>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</si>
  <si>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</si>
  <si>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</si>
  <si>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</si>
  <si>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</si>
  <si>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</si>
  <si>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</si>
  <si>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</si>
  <si>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</si>
  <si>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</si>
  <si>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</si>
  <si>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</si>
  <si>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</si>
  <si>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</si>
  <si>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</si>
  <si>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</si>
  <si>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</si>
  <si>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</si>
  <si>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</si>
  <si>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</si>
  <si>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</si>
  <si>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</si>
  <si>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</si>
  <si>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</si>
  <si>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</si>
  <si>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</si>
  <si>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</si>
  <si>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</si>
  <si>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</si>
  <si>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</si>
  <si>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</si>
  <si>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</si>
  <si>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</si>
  <si>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</si>
  <si>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</si>
  <si>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</si>
  <si>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</si>
  <si>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</si>
  <si>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</si>
  <si>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</si>
  <si>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</si>
  <si>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</si>
  <si>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</si>
  <si>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</si>
  <si>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</si>
  <si>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</si>
  <si>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</si>
  <si>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</si>
  <si>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</si>
  <si>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</si>
  <si>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</si>
  <si>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</si>
  <si>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</si>
  <si>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</si>
  <si>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</si>
  <si>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</si>
  <si>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</si>
  <si>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</si>
  <si>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</si>
  <si>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</si>
  <si>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</si>
  <si>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</si>
  <si>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</si>
  <si>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</si>
  <si>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</si>
  <si>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</si>
  <si>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</si>
  <si>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</si>
  <si>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</si>
  <si>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</si>
  <si>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</si>
  <si>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</si>
  <si>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</si>
  <si>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</si>
  <si>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</si>
  <si>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</si>
  <si>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</si>
  <si>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</si>
  <si>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</si>
  <si>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</si>
  <si>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</si>
  <si>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</si>
  <si>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</si>
  <si>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</si>
  <si>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</si>
  <si>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</si>
  <si>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</si>
  <si>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</si>
  <si>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</si>
  <si>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</si>
  <si>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</si>
  <si>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</si>
  <si>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</si>
  <si>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</si>
  <si>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</si>
  <si>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</si>
  <si>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</si>
  <si>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</si>
  <si>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</si>
  <si>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</si>
  <si>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</si>
  <si>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</si>
  <si>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</si>
  <si>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</si>
  <si>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</si>
  <si>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</si>
  <si>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</si>
  <si>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</si>
  <si>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</si>
  <si>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</si>
  <si>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</si>
  <si>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</si>
  <si>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</si>
  <si>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</si>
  <si>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</si>
  <si>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</si>
  <si>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</si>
  <si>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</si>
  <si>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</si>
  <si>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</si>
  <si>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</si>
  <si>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</si>
  <si>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</si>
  <si>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</si>
  <si>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</si>
  <si>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</si>
  <si>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</si>
  <si>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</si>
  <si>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</si>
  <si>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</si>
  <si>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</si>
  <si>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</si>
  <si>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</si>
  <si>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</si>
  <si>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</si>
  <si>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</si>
  <si>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</si>
  <si>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</si>
  <si>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</si>
  <si>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</si>
  <si>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</si>
  <si>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</si>
  <si>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</si>
  <si>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</si>
  <si>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</si>
  <si>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</si>
  <si>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</si>
  <si>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</si>
  <si>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</si>
  <si>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</si>
  <si>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</si>
  <si>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</si>
  <si>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</si>
  <si>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</si>
  <si>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</si>
  <si>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</si>
  <si>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</si>
  <si>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</si>
  <si>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</si>
  <si>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</si>
  <si>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</si>
  <si>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</si>
  <si>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</si>
  <si>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</si>
  <si>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</si>
  <si>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</si>
  <si>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</si>
  <si>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</si>
  <si>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</si>
  <si>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</si>
  <si>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</si>
  <si>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</si>
  <si>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</si>
  <si>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</si>
  <si>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</si>
  <si>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</si>
  <si>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</si>
  <si>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</si>
  <si>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</si>
  <si>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</si>
  <si>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</si>
  <si>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</si>
  <si>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</si>
  <si>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</si>
  <si>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</si>
  <si>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</si>
  <si>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</si>
  <si>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</si>
  <si>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</si>
  <si>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</si>
  <si>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</si>
  <si>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</si>
  <si>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</si>
  <si>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</si>
  <si>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</si>
  <si>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</si>
  <si>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</si>
  <si>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</si>
  <si>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</si>
  <si>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</si>
  <si>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</si>
  <si>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</si>
  <si>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</si>
  <si>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</si>
  <si>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</si>
  <si>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</si>
  <si>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</si>
  <si>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</si>
  <si>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</si>
  <si>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</si>
  <si>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</si>
  <si>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</si>
  <si>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</si>
  <si>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</si>
  <si>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</si>
  <si>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</si>
  <si>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</si>
  <si>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</si>
  <si>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</si>
  <si>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</si>
  <si>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</si>
  <si>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</si>
  <si>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</si>
  <si>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</si>
  <si>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</si>
  <si>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</si>
  <si>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</si>
  <si>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</si>
  <si>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</si>
  <si>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</si>
  <si>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</si>
  <si>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</si>
  <si>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</si>
  <si>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</si>
  <si>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</si>
  <si>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</si>
  <si>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</si>
  <si>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</si>
  <si>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</si>
  <si>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</si>
  <si>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</si>
  <si>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</si>
  <si>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</si>
  <si>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</si>
  <si>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</si>
  <si>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</si>
  <si>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</si>
  <si>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</si>
  <si>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</si>
  <si>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</si>
  <si>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</si>
  <si>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</si>
  <si>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</si>
  <si>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</si>
  <si>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</si>
  <si>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</si>
  <si>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</si>
  <si>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</si>
  <si>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</si>
  <si>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</si>
  <si>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</si>
  <si>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</si>
  <si>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</si>
  <si>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</si>
  <si>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</si>
  <si>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</si>
  <si>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</si>
  <si>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</si>
  <si>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</si>
  <si>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</si>
  <si>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</si>
  <si>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</si>
  <si>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</si>
  <si>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</si>
  <si>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</si>
  <si>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</si>
  <si>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</si>
  <si>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</si>
  <si>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</si>
  <si>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</si>
  <si>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</si>
  <si>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</si>
  <si>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</si>
  <si>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</si>
  <si>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</si>
  <si>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</si>
  <si>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</si>
  <si>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</si>
  <si>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</si>
  <si>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</si>
  <si>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</si>
  <si>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</si>
  <si>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</si>
  <si>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</si>
  <si>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</si>
  <si>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</si>
  <si>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</si>
  <si>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</si>
  <si>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</si>
  <si>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</si>
  <si>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</si>
  <si>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</si>
  <si>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</si>
  <si>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</si>
  <si>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</si>
  <si>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</si>
  <si>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</si>
  <si>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</si>
  <si>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</si>
  <si>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</si>
  <si>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</si>
  <si>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</si>
  <si>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</si>
  <si>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</si>
  <si>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</si>
  <si>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</si>
  <si>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</si>
  <si>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</si>
  <si>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</si>
  <si>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</si>
  <si>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</si>
  <si>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</si>
  <si>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</si>
  <si>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</si>
  <si>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</si>
  <si>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</si>
  <si>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</si>
  <si>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</si>
  <si>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</si>
  <si>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</si>
  <si>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</si>
  <si>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</si>
  <si>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</si>
  <si>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</si>
  <si>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</si>
  <si>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</si>
  <si>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</si>
  <si>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</si>
  <si>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</si>
  <si>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</si>
  <si>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</si>
  <si>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</si>
  <si>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</si>
  <si>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</si>
  <si>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</si>
  <si>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</si>
  <si>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</si>
  <si>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</si>
  <si>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</si>
  <si>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</si>
  <si>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</si>
  <si>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</si>
  <si>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</si>
  <si>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</si>
  <si>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</si>
  <si>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</si>
  <si>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</si>
  <si>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</si>
  <si>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</si>
  <si>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</si>
  <si>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</si>
  <si>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</si>
  <si>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</si>
  <si>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</si>
  <si>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</si>
  <si>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</si>
  <si>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</si>
  <si>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</si>
  <si>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</si>
  <si>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</si>
  <si>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</si>
  <si>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</si>
  <si>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</si>
  <si>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</si>
  <si>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</si>
  <si>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</si>
  <si>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</si>
  <si>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</si>
  <si>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</si>
  <si>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</si>
  <si>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</si>
  <si>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</si>
  <si>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</si>
  <si>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</si>
  <si>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</si>
  <si>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</si>
  <si>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</si>
  <si>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</si>
  <si>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</si>
  <si>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</si>
  <si>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</si>
  <si>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</si>
  <si>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</si>
  <si>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</si>
  <si>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</si>
  <si>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</si>
  <si>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</si>
  <si>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</si>
  <si>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</si>
  <si>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</si>
  <si>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</si>
  <si>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</si>
  <si>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</si>
  <si>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</si>
  <si>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</si>
  <si>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</si>
  <si>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</si>
  <si>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</si>
  <si>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</si>
  <si>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</si>
  <si>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</si>
  <si>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</si>
  <si>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</si>
  <si>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</si>
  <si>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</si>
  <si>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</si>
  <si>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</si>
  <si>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</si>
  <si>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</si>
  <si>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</si>
  <si>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</si>
  <si>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</si>
  <si>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</si>
  <si>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</si>
  <si>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</si>
  <si>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</si>
  <si>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</si>
  <si>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</si>
  <si>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</si>
  <si>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</si>
  <si>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</si>
  <si>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</si>
  <si>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</si>
  <si>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</si>
  <si>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</si>
  <si>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</si>
  <si>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</si>
  <si>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</si>
  <si>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</si>
  <si>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</si>
  <si>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</si>
  <si>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</si>
  <si>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</si>
  <si>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</si>
  <si>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</si>
  <si>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</si>
  <si>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</si>
  <si>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</si>
  <si>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</si>
  <si>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</si>
  <si>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</si>
  <si>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</si>
  <si>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</si>
  <si>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</si>
  <si>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</si>
  <si>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</si>
  <si>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</si>
  <si>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</si>
  <si>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</si>
  <si>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</si>
  <si>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</si>
  <si>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</si>
  <si>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</si>
  <si>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</si>
  <si>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</si>
  <si>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</si>
  <si>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</si>
  <si>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</si>
  <si>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</si>
  <si>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</si>
  <si>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</si>
  <si>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</si>
  <si>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</si>
  <si>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</si>
  <si>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</si>
  <si>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</si>
  <si>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</si>
  <si>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</si>
  <si>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</si>
  <si>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</si>
  <si>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</si>
  <si>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</si>
  <si>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</si>
  <si>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</si>
  <si>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</si>
  <si>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</si>
  <si>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</si>
  <si>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</si>
  <si>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</si>
  <si>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</si>
  <si>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</si>
  <si>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</si>
  <si>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</si>
  <si>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</si>
  <si>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</si>
  <si>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</si>
  <si>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</si>
  <si>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</si>
  <si>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</si>
  <si>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</si>
  <si>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</si>
  <si>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</si>
  <si>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</si>
  <si>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</si>
  <si>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</si>
  <si>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</si>
  <si>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</si>
  <si>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</si>
  <si>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</si>
  <si>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</si>
  <si>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</si>
  <si>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</si>
  <si>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</si>
  <si>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</si>
  <si>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</si>
  <si>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</si>
  <si>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</si>
  <si>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</si>
  <si>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</si>
  <si>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</si>
  <si>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</si>
  <si>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</si>
  <si>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</si>
  <si>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</si>
  <si>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</si>
  <si>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</si>
  <si>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</si>
  <si>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</si>
  <si>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</si>
  <si>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</si>
  <si>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</si>
  <si>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</si>
  <si>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</si>
  <si>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</si>
  <si>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</si>
  <si>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</si>
  <si>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</si>
  <si>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</si>
  <si>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</si>
  <si>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</si>
  <si>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</si>
  <si>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</si>
  <si>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</si>
  <si>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</si>
  <si>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</si>
  <si>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</si>
  <si>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</si>
  <si>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</si>
  <si>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</si>
  <si>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</si>
  <si>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</si>
  <si>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</si>
  <si>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</si>
  <si>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</si>
  <si>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</si>
  <si>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</si>
  <si>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</si>
  <si>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</si>
  <si>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</si>
  <si>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</si>
  <si>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</si>
  <si>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</si>
  <si>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</si>
  <si>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</si>
  <si>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</si>
  <si>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</si>
  <si>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</si>
  <si>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</si>
  <si>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</si>
  <si>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</si>
  <si>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</si>
  <si>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</si>
  <si>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</si>
  <si>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</si>
  <si>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</si>
  <si>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</si>
  <si>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</si>
  <si>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</si>
  <si>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</si>
  <si>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</si>
  <si>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</si>
  <si>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</si>
  <si>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</si>
  <si>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</si>
  <si>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</si>
  <si>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</si>
  <si>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</si>
  <si>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</si>
  <si>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</si>
  <si>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</si>
  <si>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</si>
  <si>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</si>
  <si>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</si>
  <si>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</si>
  <si>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</si>
  <si>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</si>
  <si>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</si>
  <si>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</si>
  <si>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</si>
  <si>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</si>
  <si>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</si>
  <si>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</si>
  <si>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</si>
  <si>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</si>
  <si>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</si>
  <si>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</si>
  <si>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</si>
  <si>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</si>
  <si>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</si>
  <si>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</si>
  <si>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</si>
  <si>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</si>
  <si>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</si>
  <si>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</si>
  <si>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</si>
  <si>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</si>
  <si>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</si>
  <si>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</si>
  <si>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</si>
  <si>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</si>
  <si>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</si>
  <si>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</si>
  <si>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</si>
  <si>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</si>
  <si>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</si>
  <si>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</si>
  <si>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</si>
  <si>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</si>
  <si>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</si>
  <si>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</si>
  <si>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</si>
  <si>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</si>
  <si>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</si>
  <si>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</si>
  <si>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</si>
  <si>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</si>
  <si>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</si>
  <si>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</si>
  <si>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</si>
  <si>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</si>
  <si>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</si>
  <si>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</si>
  <si>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</si>
  <si>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</si>
  <si>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</si>
  <si>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</si>
  <si>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</si>
  <si>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</si>
  <si>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</si>
  <si>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</si>
  <si>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</si>
  <si>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</si>
  <si>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</si>
  <si>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</si>
  <si>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</si>
  <si>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</si>
  <si>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</si>
  <si>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</si>
  <si>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</si>
  <si>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</si>
  <si>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</si>
  <si>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</si>
  <si>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</si>
  <si>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</si>
  <si>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</si>
  <si>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</si>
  <si>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</si>
  <si>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</si>
  <si>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</si>
  <si>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</si>
  <si>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</si>
  <si>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</si>
  <si>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</si>
  <si>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</si>
  <si>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</si>
  <si>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</si>
  <si>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</si>
  <si>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</si>
  <si>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</si>
  <si>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</si>
  <si>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</si>
  <si>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</si>
  <si>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</si>
  <si>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</si>
  <si>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</si>
  <si>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</si>
  <si>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</si>
  <si>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</si>
  <si>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</si>
  <si>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</si>
  <si>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</si>
  <si>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</si>
  <si>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</si>
  <si>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</si>
  <si>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</si>
  <si>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</si>
  <si>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</si>
  <si>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</si>
  <si>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</si>
  <si>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</si>
  <si>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</si>
  <si>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</si>
  <si>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</si>
  <si>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</si>
  <si>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</si>
  <si>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</si>
  <si>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</si>
  <si>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</si>
  <si>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</si>
  <si>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</si>
  <si>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</si>
  <si>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</si>
  <si>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</si>
  <si>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</si>
  <si>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</si>
  <si>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</si>
  <si>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</si>
  <si>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</si>
  <si>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</si>
  <si>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</si>
  <si>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</si>
  <si>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</si>
  <si>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</si>
  <si>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</si>
  <si>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</si>
  <si>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</si>
  <si>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</si>
  <si>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</si>
  <si>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</si>
  <si>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</si>
  <si>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</si>
  <si>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</si>
  <si>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</si>
  <si>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</si>
  <si>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</si>
  <si>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</si>
  <si>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</si>
  <si>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</si>
  <si>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</si>
  <si>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</si>
  <si>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</si>
  <si>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</si>
  <si>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</si>
  <si>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</si>
  <si>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</si>
  <si>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</si>
  <si>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</si>
  <si>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</si>
  <si>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</si>
  <si>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</si>
  <si>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</si>
  <si>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</si>
  <si>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</si>
  <si>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</si>
  <si>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</si>
  <si>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</si>
  <si>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</si>
  <si>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</si>
  <si>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</si>
  <si>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</si>
  <si>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</si>
  <si>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</si>
  <si>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</si>
  <si>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</si>
  <si>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</si>
  <si>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</si>
  <si>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</si>
  <si>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</si>
  <si>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</si>
  <si>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</si>
  <si>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</si>
  <si>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</si>
  <si>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</si>
  <si>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</si>
  <si>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</si>
  <si>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</si>
  <si>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</si>
  <si>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</si>
  <si>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</si>
  <si>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</si>
  <si>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</si>
  <si>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</si>
  <si>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</si>
  <si>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</si>
  <si>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</si>
  <si>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</si>
  <si>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</si>
  <si>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</si>
  <si>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</si>
  <si>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</si>
  <si>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</si>
  <si>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</si>
  <si>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</si>
  <si>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</si>
  <si>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</si>
  <si>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</si>
  <si>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</si>
  <si>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</si>
  <si>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</si>
  <si>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</si>
  <si>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</si>
  <si>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</si>
  <si>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</si>
  <si>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</si>
  <si>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</si>
  <si>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</si>
  <si>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</si>
  <si>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</si>
  <si>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</si>
  <si>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</si>
  <si>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</si>
  <si>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</si>
  <si>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</si>
  <si>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</si>
  <si>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</si>
  <si>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</si>
  <si>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</si>
  <si>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</si>
  <si>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</si>
  <si>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</si>
  <si>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</si>
  <si>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</si>
  <si>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</si>
  <si>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</si>
  <si>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</si>
  <si>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</si>
  <si>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</si>
  <si>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</si>
  <si>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</si>
  <si>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</si>
  <si>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</si>
  <si>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</si>
  <si>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</si>
  <si>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</si>
  <si>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</si>
  <si>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</si>
  <si>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</si>
  <si>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</si>
  <si>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</si>
  <si>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</si>
  <si>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</si>
  <si>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</si>
  <si>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</si>
  <si>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</si>
  <si>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</si>
  <si>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</si>
  <si>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</si>
  <si>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</si>
  <si>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</si>
  <si>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</si>
  <si>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</si>
  <si>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</si>
  <si>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</si>
  <si>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</si>
  <si>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</si>
  <si>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</si>
  <si>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</si>
  <si>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</si>
  <si>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</si>
  <si>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</si>
  <si>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</si>
  <si>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</si>
  <si>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</si>
  <si>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</si>
  <si>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</si>
  <si>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</si>
  <si>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</si>
  <si>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</si>
  <si>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</si>
  <si>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</si>
  <si>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</si>
  <si>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</si>
  <si>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</si>
  <si>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</si>
  <si>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</si>
  <si>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</si>
  <si>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</si>
  <si>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</si>
  <si>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</si>
  <si>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</si>
  <si>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</si>
  <si>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</si>
  <si>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</si>
  <si>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</si>
  <si>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</si>
  <si>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</si>
  <si>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</si>
  <si>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</si>
  <si>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</si>
  <si>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</si>
  <si>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</si>
  <si>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</si>
  <si>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</si>
  <si>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</si>
  <si>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</si>
  <si>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</si>
  <si>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</si>
  <si>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</si>
  <si>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</si>
  <si>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</si>
  <si>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</si>
  <si>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</si>
  <si>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</si>
  <si>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</si>
  <si>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</si>
  <si>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</si>
  <si>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</si>
  <si>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</si>
  <si>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</si>
  <si>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</si>
  <si>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</si>
  <si>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</si>
  <si>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</si>
  <si>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</si>
  <si>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</si>
  <si>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</si>
  <si>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</si>
  <si>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</si>
  <si>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</si>
  <si>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</si>
  <si>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</si>
  <si>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</si>
  <si>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</si>
  <si>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</si>
  <si>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</si>
  <si>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</si>
  <si>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</si>
  <si>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</si>
  <si>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</si>
  <si>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</si>
  <si>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</si>
  <si>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</si>
  <si>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</si>
  <si>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</si>
  <si>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</si>
  <si>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</si>
  <si>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</si>
  <si>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</si>
  <si>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</si>
  <si>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</si>
  <si>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</si>
  <si>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</si>
  <si>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</si>
  <si>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</si>
  <si>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</si>
  <si>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</si>
  <si>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</si>
  <si>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</si>
  <si>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</si>
  <si>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</si>
  <si>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</si>
  <si>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</si>
  <si>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</si>
  <si>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</si>
  <si>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</si>
  <si>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</si>
  <si>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</si>
  <si>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</si>
  <si>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</si>
  <si>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</si>
  <si>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</si>
  <si>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</si>
  <si>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</si>
  <si>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</si>
  <si>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</si>
  <si>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</si>
  <si>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</si>
  <si>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</si>
  <si>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</si>
  <si>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</si>
  <si>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</si>
  <si>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</si>
  <si>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</si>
  <si>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</si>
  <si>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</si>
  <si>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</si>
  <si>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</si>
  <si>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</si>
  <si>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</si>
  <si>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</si>
  <si>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</si>
  <si>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</si>
  <si>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</si>
  <si>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</si>
  <si>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</si>
  <si>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</si>
  <si>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</si>
  <si>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</si>
  <si>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</si>
  <si>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</si>
  <si>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</si>
  <si>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</si>
  <si>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</si>
  <si>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</si>
  <si>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</si>
  <si>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</si>
  <si>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</si>
  <si>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</si>
  <si>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</si>
  <si>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</si>
  <si>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</si>
  <si>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</si>
  <si>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</si>
  <si>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</si>
  <si>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</si>
  <si>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</si>
  <si>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</si>
  <si>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</si>
  <si>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</si>
  <si>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</si>
  <si>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</si>
  <si>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</si>
  <si>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</si>
  <si>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</si>
  <si>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</si>
  <si>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</si>
  <si>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</si>
  <si>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</si>
  <si>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</si>
  <si>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</si>
  <si>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</si>
  <si>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</si>
  <si>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</si>
  <si>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</si>
  <si>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</si>
  <si>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</si>
  <si>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</si>
  <si>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</si>
  <si>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</si>
  <si>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</si>
  <si>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</si>
  <si>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</si>
  <si>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</si>
  <si>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</si>
  <si>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</si>
  <si>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</si>
  <si>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</si>
  <si>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</si>
  <si>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</si>
  <si>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</si>
  <si>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</si>
  <si>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</si>
  <si>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</si>
  <si>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</si>
  <si>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</si>
  <si>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</si>
  <si>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</si>
  <si>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</si>
  <si>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</si>
  <si>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</si>
  <si>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</si>
  <si>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</si>
  <si>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</si>
  <si>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</si>
  <si>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</si>
  <si>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</si>
  <si>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</si>
  <si>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</si>
  <si>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</si>
  <si>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</si>
  <si>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</si>
  <si>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</si>
  <si>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</si>
  <si>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</si>
  <si>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</si>
  <si>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</si>
  <si>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</si>
  <si>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</si>
  <si>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</si>
  <si>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</si>
  <si>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</si>
  <si>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</si>
  <si>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</si>
  <si>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</si>
  <si>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</si>
  <si>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</si>
  <si>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</si>
  <si>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</si>
  <si>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</si>
  <si>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</si>
  <si>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</si>
  <si>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</si>
  <si>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</si>
  <si>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</si>
  <si>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</si>
  <si>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</si>
  <si>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</si>
  <si>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</si>
  <si>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</si>
  <si>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</si>
  <si>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</si>
  <si>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</si>
  <si>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</si>
  <si>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</si>
  <si>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</si>
  <si>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</si>
  <si>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</si>
  <si>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</si>
  <si>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</si>
  <si>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</si>
  <si>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</si>
  <si>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</si>
  <si>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</si>
  <si>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</si>
  <si>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</si>
  <si>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</si>
  <si>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</si>
  <si>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</si>
  <si>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</si>
  <si>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</si>
  <si>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</si>
  <si>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</si>
  <si>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</si>
  <si>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</si>
  <si>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</si>
  <si>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</si>
  <si>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</si>
  <si>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</si>
  <si>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</si>
  <si>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</si>
  <si>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</si>
  <si>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</si>
  <si>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</si>
  <si>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</si>
  <si>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</si>
  <si>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</si>
  <si>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</si>
  <si>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</si>
  <si>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</si>
  <si>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</si>
  <si>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</si>
  <si>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</si>
  <si>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</si>
  <si>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</si>
  <si>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</si>
  <si>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</si>
  <si>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</si>
  <si>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</si>
  <si>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</si>
  <si>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</si>
  <si>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</si>
  <si>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</si>
  <si>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</si>
  <si>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</si>
  <si>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</si>
  <si>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</si>
  <si>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</si>
  <si>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</si>
  <si>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</si>
  <si>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</si>
  <si>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</si>
  <si>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</si>
  <si>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</si>
  <si>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</si>
  <si>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</si>
  <si>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</si>
  <si>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</si>
  <si>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</si>
  <si>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</si>
  <si>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</si>
  <si>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</si>
  <si>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</si>
  <si>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</si>
  <si>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</si>
  <si>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</si>
  <si>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</si>
  <si>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</si>
  <si>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</si>
  <si>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</si>
  <si>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</si>
  <si>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</si>
  <si>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</si>
  <si>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</si>
  <si>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</si>
  <si>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</si>
  <si>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</si>
  <si>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</si>
  <si>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</si>
  <si>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</si>
  <si>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</si>
  <si>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</si>
  <si>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</si>
  <si>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</si>
  <si>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</si>
  <si>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</si>
  <si>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</si>
  <si>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</si>
  <si>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</si>
  <si>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</si>
  <si>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</si>
  <si>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</si>
  <si>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</si>
  <si>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</si>
  <si>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</si>
  <si>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</si>
  <si>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</si>
  <si>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</si>
  <si>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</si>
  <si>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</si>
  <si>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</si>
  <si>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</si>
  <si>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</si>
  <si>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</si>
  <si>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</si>
  <si>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</si>
  <si>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</si>
  <si>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</si>
  <si>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</si>
  <si>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</si>
  <si>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</si>
  <si>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</si>
  <si>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</si>
  <si>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</si>
  <si>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</si>
  <si>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</si>
  <si>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</si>
  <si>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</si>
  <si>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</si>
  <si>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</si>
  <si>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</si>
  <si>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</si>
  <si>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</si>
  <si>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</si>
  <si>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</si>
  <si>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</si>
  <si>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</si>
  <si>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</si>
  <si>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</si>
  <si>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</si>
  <si>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</si>
  <si>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</si>
  <si>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</si>
  <si>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</si>
  <si>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</si>
  <si>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</si>
  <si>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</si>
  <si>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</si>
  <si>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</si>
  <si>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</si>
  <si>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</si>
  <si>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</si>
  <si>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</si>
  <si>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</si>
  <si>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</si>
  <si>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</si>
  <si>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</si>
  <si>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</si>
  <si>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</si>
  <si>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</si>
  <si>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</si>
  <si>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</si>
  <si>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</si>
  <si>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</si>
  <si>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</si>
  <si>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</si>
  <si>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</si>
  <si>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</si>
  <si>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</si>
  <si>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</si>
  <si>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</si>
  <si>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</si>
  <si>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</si>
  <si>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</si>
  <si>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</si>
  <si>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</si>
  <si>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</si>
  <si>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</si>
  <si>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</si>
  <si>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</si>
  <si>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</si>
  <si>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</si>
  <si>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</si>
  <si>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</si>
  <si>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</si>
  <si>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</si>
  <si>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</si>
  <si>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</si>
  <si>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</si>
  <si>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</si>
  <si>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</si>
  <si>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</si>
  <si>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</si>
  <si>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</si>
  <si>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</si>
  <si>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</si>
  <si>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</si>
  <si>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</si>
  <si>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</si>
  <si>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</si>
  <si>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</si>
  <si>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</si>
  <si>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</si>
  <si>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</si>
  <si>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</si>
  <si>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</si>
  <si>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</si>
  <si>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</si>
  <si>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</si>
  <si>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</si>
  <si>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</si>
  <si>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</si>
  <si>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</si>
  <si>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</si>
  <si>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</si>
  <si>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</si>
  <si>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</si>
  <si>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</si>
  <si>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</si>
  <si>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</si>
  <si>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</si>
  <si>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</si>
  <si>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</si>
  <si>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</si>
  <si>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</si>
  <si>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</si>
  <si>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</si>
  <si>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</si>
  <si>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</si>
  <si>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</si>
  <si>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</si>
  <si>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</si>
  <si>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</si>
  <si>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</si>
  <si>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</si>
  <si>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</si>
  <si>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</si>
  <si>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</si>
  <si>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</si>
  <si>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</si>
  <si>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</si>
  <si>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</si>
  <si>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</si>
  <si>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</si>
  <si>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</si>
  <si>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</si>
  <si>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</si>
  <si>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</si>
  <si>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</si>
  <si>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</si>
  <si>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</si>
  <si>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</si>
  <si>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</si>
  <si>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</si>
  <si>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</si>
  <si>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</si>
  <si>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</si>
  <si>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</si>
  <si>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</si>
  <si>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</si>
  <si>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</si>
  <si>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</si>
  <si>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</si>
  <si>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</si>
  <si>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</si>
  <si>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</si>
  <si>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</si>
  <si>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</si>
  <si>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</si>
  <si>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</si>
  <si>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</si>
  <si>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</si>
  <si>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</si>
  <si>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</si>
  <si>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</si>
  <si>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</si>
  <si>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</si>
  <si>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</si>
  <si>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</si>
  <si>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</si>
  <si>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</si>
  <si>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</si>
  <si>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</si>
  <si>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</si>
  <si>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</si>
  <si>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</si>
  <si>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</si>
  <si>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</si>
  <si>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</si>
  <si>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</si>
  <si>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</si>
  <si>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</si>
  <si>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</si>
  <si>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</si>
  <si>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</si>
  <si>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</si>
  <si>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</si>
  <si>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</si>
  <si>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</si>
  <si>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</si>
  <si>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</si>
  <si>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</si>
  <si>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</si>
  <si>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</si>
  <si>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</si>
  <si>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</si>
  <si>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</si>
  <si>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</si>
  <si>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</si>
  <si>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</si>
  <si>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</si>
  <si>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</si>
  <si>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</si>
  <si>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</si>
  <si>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</si>
  <si>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</si>
  <si>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</si>
  <si>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</si>
  <si>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</si>
  <si>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</si>
  <si>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</si>
  <si>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</si>
  <si>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</si>
  <si>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</si>
  <si>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</si>
  <si>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</si>
  <si>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</si>
  <si>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</si>
  <si>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</si>
  <si>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</si>
  <si>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</si>
  <si>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</si>
  <si>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</si>
  <si>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</si>
  <si>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</si>
  <si>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</si>
  <si>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</si>
  <si>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</si>
  <si>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</si>
  <si>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</si>
  <si>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</si>
  <si>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</si>
  <si>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</si>
  <si>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</si>
  <si>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</si>
  <si>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</si>
  <si>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</si>
  <si>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</si>
  <si>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</si>
  <si>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</si>
  <si>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</si>
  <si>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</si>
  <si>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</si>
  <si>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</si>
  <si>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</si>
  <si>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</si>
  <si>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</si>
  <si>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</si>
  <si>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</si>
  <si>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</si>
  <si>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</si>
  <si>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</si>
  <si>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</si>
  <si>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</si>
  <si>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</si>
  <si>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</si>
  <si>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</si>
  <si>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</si>
  <si>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</si>
  <si>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</si>
  <si>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</si>
  <si>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</si>
  <si>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</si>
  <si>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</si>
  <si>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</si>
  <si>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</si>
  <si>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</si>
  <si>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</si>
  <si>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</si>
  <si>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</si>
  <si>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</si>
  <si>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</si>
  <si>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</si>
  <si>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</si>
  <si>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</si>
  <si>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</si>
  <si>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</si>
  <si>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</si>
  <si>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</si>
  <si>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</si>
  <si>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</si>
  <si>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</si>
  <si>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</si>
  <si>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</si>
  <si>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</si>
  <si>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</si>
  <si>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</si>
  <si>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</si>
  <si>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</si>
  <si>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</si>
  <si>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</si>
  <si>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</si>
  <si>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</si>
  <si>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</si>
  <si>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</si>
  <si>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</si>
  <si>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</si>
  <si>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</si>
  <si>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</si>
  <si>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</si>
  <si>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</si>
  <si>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</si>
  <si>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</si>
  <si>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</si>
  <si>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</si>
  <si>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</si>
  <si>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</si>
  <si>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</si>
  <si>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</si>
  <si>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</si>
  <si>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</si>
  <si>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</si>
  <si>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</si>
  <si>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</si>
  <si>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</si>
  <si>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</si>
  <si>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</si>
  <si>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</si>
  <si>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</si>
  <si>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</si>
  <si>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</si>
  <si>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</si>
  <si>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</si>
  <si>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</si>
  <si>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</si>
  <si>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</si>
  <si>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</si>
  <si>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</si>
  <si>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</si>
  <si>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</si>
  <si>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</si>
  <si>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</si>
  <si>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</si>
  <si>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</si>
  <si>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</si>
  <si>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</si>
  <si>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</si>
  <si>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</si>
  <si>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</si>
  <si>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</si>
  <si>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</si>
  <si>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</si>
  <si>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</si>
  <si>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</si>
  <si>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</si>
  <si>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</si>
  <si>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</si>
  <si>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</si>
  <si>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</si>
  <si>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</si>
  <si>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</si>
  <si>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</si>
  <si>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</si>
  <si>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</si>
  <si>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</si>
  <si>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</si>
  <si>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</si>
  <si>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</si>
  <si>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</si>
  <si>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</si>
  <si>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</si>
  <si>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</si>
  <si>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</si>
  <si>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</si>
  <si>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</si>
  <si>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</si>
  <si>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</si>
  <si>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</si>
  <si>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</si>
  <si>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</si>
  <si>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</si>
  <si>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</si>
  <si>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</si>
  <si>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</si>
  <si>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</si>
  <si>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</si>
  <si>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</si>
  <si>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</si>
  <si>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</si>
  <si>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</si>
  <si>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</si>
  <si>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</si>
  <si>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</si>
  <si>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</si>
  <si>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</si>
  <si>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</si>
  <si>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</si>
  <si>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</si>
  <si>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</si>
  <si>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</si>
  <si>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</si>
  <si>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</si>
  <si>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</si>
  <si>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</si>
  <si>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</si>
  <si>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</si>
  <si>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</si>
  <si>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</si>
  <si>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</si>
  <si>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</si>
  <si>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</si>
  <si>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</si>
  <si>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</si>
  <si>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</si>
  <si>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</si>
  <si>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</si>
  <si>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</si>
  <si>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</si>
  <si>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</si>
  <si>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</si>
  <si>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</si>
  <si>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</si>
  <si>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</si>
  <si>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</si>
  <si>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</si>
  <si>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</si>
  <si>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</si>
  <si>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</si>
  <si>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</si>
  <si>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</si>
  <si>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</si>
  <si>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</si>
  <si>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</si>
  <si>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</si>
  <si>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</si>
  <si>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</si>
  <si>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</si>
  <si>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</si>
  <si>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</si>
  <si>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</si>
  <si>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</si>
  <si>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</si>
  <si>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</si>
  <si>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</si>
  <si>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</si>
  <si>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</si>
  <si>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</si>
  <si>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</si>
  <si>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</si>
  <si>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</si>
  <si>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</si>
  <si>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</si>
  <si>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</si>
  <si>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</si>
  <si>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</si>
  <si>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</si>
  <si>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</si>
  <si>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</si>
  <si>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</si>
  <si>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</si>
  <si>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</si>
  <si>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</si>
  <si>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</si>
  <si>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</si>
  <si>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</si>
  <si>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</si>
  <si>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</si>
  <si>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</si>
  <si>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</si>
  <si>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</si>
  <si>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</si>
  <si>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</si>
  <si>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</si>
  <si>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</si>
  <si>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</si>
  <si>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</si>
  <si>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</si>
  <si>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</si>
  <si>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</si>
  <si>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</si>
  <si>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</si>
  <si>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</si>
  <si>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</si>
  <si>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</si>
  <si>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</si>
  <si>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</si>
  <si>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</si>
  <si>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</si>
  <si>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</si>
  <si>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</si>
  <si>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</si>
  <si>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</si>
  <si>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</si>
  <si>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</si>
  <si>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</si>
  <si>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</si>
  <si>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</si>
  <si>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</si>
  <si>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</si>
  <si>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</si>
  <si>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</si>
  <si>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</si>
  <si>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</si>
  <si>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</si>
  <si>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</si>
  <si>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</si>
  <si>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</si>
  <si>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</si>
  <si>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</si>
  <si>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</si>
  <si>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</si>
  <si>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</si>
  <si>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</si>
  <si>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</si>
  <si>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</si>
  <si>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</si>
  <si>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</si>
  <si>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</si>
  <si>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</si>
  <si>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</si>
  <si>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</si>
  <si>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</si>
  <si>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</si>
  <si>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</si>
  <si>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</si>
  <si>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</si>
  <si>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</si>
  <si>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</si>
  <si>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</si>
  <si>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</si>
  <si>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</si>
  <si>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</si>
  <si>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</si>
  <si>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</si>
  <si>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</si>
  <si>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</si>
  <si>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</si>
  <si>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</si>
  <si>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</si>
  <si>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</si>
  <si>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</si>
  <si>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</si>
  <si>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</si>
  <si>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</si>
  <si>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</si>
  <si>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</si>
  <si>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</si>
  <si>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</si>
  <si>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</si>
  <si>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</si>
  <si>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</si>
  <si>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</si>
  <si>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</si>
  <si>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</si>
  <si>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</si>
  <si>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</si>
  <si>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</si>
  <si>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</si>
  <si>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</si>
  <si>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</si>
  <si>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</si>
  <si>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</si>
  <si>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</si>
  <si>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</si>
  <si>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</si>
  <si>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</si>
  <si>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</si>
  <si>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</si>
  <si>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</si>
  <si>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</si>
  <si>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</si>
  <si>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</si>
  <si>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</si>
  <si>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</si>
  <si>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</si>
  <si>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</si>
  <si>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</si>
  <si>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</si>
  <si>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</si>
  <si>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</si>
  <si>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</si>
  <si>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</si>
  <si>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</si>
  <si>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</si>
  <si>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</si>
  <si>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</si>
  <si>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</si>
  <si>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</si>
  <si>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</si>
  <si>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</si>
  <si>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</si>
  <si>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</si>
  <si>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</si>
  <si>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</si>
  <si>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</si>
  <si>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</si>
  <si>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</si>
  <si>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</si>
  <si>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</si>
  <si>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</si>
  <si>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</si>
  <si>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</si>
  <si>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</si>
  <si>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</si>
  <si>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</si>
  <si>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</si>
  <si>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</si>
  <si>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</si>
  <si>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</si>
  <si>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</si>
  <si>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</si>
  <si>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</si>
  <si>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</si>
  <si>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</si>
  <si>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</si>
  <si>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</si>
  <si>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</si>
  <si>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</si>
  <si>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</si>
  <si>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</si>
  <si>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</si>
  <si>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</si>
  <si>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</si>
  <si>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</si>
  <si>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</si>
  <si>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</si>
  <si>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</si>
  <si>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</si>
  <si>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</si>
  <si>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</si>
  <si>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</si>
  <si>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</si>
  <si>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</si>
  <si>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</si>
  <si>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</si>
  <si>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</si>
  <si>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</si>
  <si>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</si>
  <si>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</si>
  <si>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</si>
  <si>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</si>
  <si>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</si>
  <si>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</si>
  <si>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</si>
  <si>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</si>
  <si>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</si>
  <si>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</si>
  <si>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</si>
  <si>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</si>
  <si>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</si>
  <si>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</si>
  <si>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</si>
  <si>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</si>
  <si>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</si>
  <si>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</si>
  <si>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</si>
  <si>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</si>
  <si>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</si>
  <si>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</si>
  <si>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</si>
  <si>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</si>
  <si>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</si>
  <si>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</si>
  <si>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</si>
  <si>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</si>
  <si>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</si>
  <si>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</si>
  <si>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</si>
  <si>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</si>
  <si>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</si>
  <si>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</si>
  <si>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</si>
  <si>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</si>
  <si>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</si>
  <si>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</si>
  <si>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</si>
  <si>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</si>
  <si>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</si>
  <si>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</si>
  <si>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</si>
  <si>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</si>
  <si>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</si>
  <si>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</si>
  <si>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</si>
  <si>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</si>
  <si>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</si>
  <si>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</si>
  <si>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</si>
  <si>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</si>
  <si>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</si>
  <si>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</si>
  <si>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</si>
  <si>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</si>
  <si>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</si>
  <si>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</si>
  <si>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</si>
  <si>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</si>
  <si>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</si>
  <si>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</si>
  <si>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</si>
  <si>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</si>
  <si>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</si>
  <si>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</si>
  <si>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</si>
  <si>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</si>
  <si>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</si>
  <si>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</si>
  <si>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</si>
  <si>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</si>
  <si>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</si>
  <si>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</si>
  <si>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</si>
  <si>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</si>
  <si>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</si>
  <si>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</si>
  <si>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</si>
  <si>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</si>
  <si>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</si>
  <si>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</si>
  <si>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</si>
  <si>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</si>
  <si>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</si>
  <si>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</si>
  <si>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</si>
  <si>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</si>
  <si>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</si>
  <si>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</si>
  <si>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</si>
  <si>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</si>
  <si>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</si>
  <si>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</si>
  <si>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</si>
  <si>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</si>
  <si>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</si>
  <si>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</si>
  <si>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</si>
  <si>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</si>
  <si>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</si>
  <si>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</si>
  <si>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</si>
  <si>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</si>
  <si>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</si>
  <si>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</si>
  <si>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</si>
  <si>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</si>
  <si>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</si>
  <si>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</si>
  <si>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</si>
  <si>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</si>
  <si>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</si>
  <si>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</si>
  <si>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</si>
  <si>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</si>
  <si>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</si>
  <si>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</si>
  <si>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</si>
  <si>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</si>
  <si>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</si>
  <si>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</si>
  <si>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</si>
  <si>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</si>
  <si>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</si>
  <si>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</si>
  <si>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</si>
  <si>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</si>
  <si>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</si>
  <si>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</si>
  <si>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</si>
  <si>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</si>
  <si>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</si>
  <si>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</si>
  <si>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</si>
  <si>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</si>
  <si>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</si>
  <si>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</si>
  <si>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</si>
  <si>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</si>
  <si>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</si>
  <si>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</si>
  <si>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</si>
  <si>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</si>
  <si>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</si>
  <si>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</si>
  <si>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</si>
  <si>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</si>
  <si>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</si>
  <si>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</si>
  <si>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</si>
  <si>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</si>
  <si>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</si>
  <si>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</si>
  <si>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</si>
  <si>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</si>
  <si>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</si>
  <si>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</si>
  <si>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</si>
  <si>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</si>
  <si>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</si>
  <si>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</si>
  <si>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</si>
  <si>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</si>
  <si>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</si>
  <si>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</si>
  <si>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</si>
  <si>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</si>
  <si>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</si>
  <si>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</si>
  <si>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</si>
  <si>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</si>
  <si>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</si>
  <si>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</si>
  <si>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</si>
  <si>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</si>
  <si>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</si>
  <si>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</si>
  <si>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</si>
  <si>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</si>
  <si>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</si>
  <si>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</si>
  <si>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</si>
  <si>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</si>
  <si>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</si>
  <si>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</si>
  <si>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</si>
  <si>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</si>
  <si>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</si>
  <si>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</si>
  <si>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</si>
  <si>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</si>
  <si>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</si>
  <si>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</si>
  <si>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</si>
  <si>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</si>
  <si>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</si>
  <si>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</si>
  <si>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</si>
  <si>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</si>
  <si>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</si>
  <si>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</si>
  <si>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</si>
  <si>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</si>
  <si>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</si>
  <si>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</si>
  <si>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</si>
  <si>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</si>
  <si>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</si>
  <si>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</si>
  <si>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</si>
  <si>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</si>
  <si>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</si>
  <si>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</si>
  <si>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</si>
  <si>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</si>
  <si>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</si>
  <si>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</si>
  <si>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</si>
  <si>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</si>
  <si>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</si>
  <si>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</si>
  <si>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</si>
  <si>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</si>
  <si>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</si>
  <si>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</si>
  <si>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</si>
  <si>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</si>
  <si>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</si>
  <si>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</si>
  <si>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</si>
  <si>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</si>
  <si>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</si>
  <si>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</si>
  <si>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</si>
  <si>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</si>
  <si>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</si>
  <si>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</si>
  <si>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</si>
  <si>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</si>
  <si>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</si>
  <si>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</si>
  <si>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</si>
  <si>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</si>
  <si>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</si>
  <si>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</si>
  <si>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</si>
  <si>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</si>
  <si>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</si>
  <si>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</si>
  <si>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</si>
  <si>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</si>
  <si>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</si>
  <si>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</si>
  <si>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</si>
  <si>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</si>
  <si>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</si>
  <si>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</si>
  <si>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</si>
  <si>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</si>
  <si>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</si>
  <si>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</si>
  <si>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</si>
  <si>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</si>
  <si>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</si>
  <si>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</si>
  <si>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</si>
  <si>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</si>
  <si>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</si>
  <si>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</si>
  <si>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</si>
  <si>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</si>
  <si>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</si>
  <si>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</si>
  <si>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</si>
  <si>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</si>
  <si>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</si>
  <si>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</si>
  <si>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</si>
  <si>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</si>
  <si>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</si>
  <si>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</si>
  <si>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</si>
  <si>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</si>
  <si>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</si>
  <si>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</si>
  <si>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</si>
  <si>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</si>
  <si>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</si>
  <si>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</si>
  <si>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</si>
  <si>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</si>
  <si>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</si>
  <si>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</si>
  <si>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</si>
  <si>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</si>
  <si>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</si>
  <si>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</si>
  <si>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</si>
  <si>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</si>
  <si>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</si>
  <si>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</si>
  <si>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</si>
  <si>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</si>
  <si>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</si>
  <si>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</si>
  <si>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</si>
  <si>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</si>
  <si>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</si>
  <si>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</si>
  <si>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</si>
  <si>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</si>
  <si>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</si>
  <si>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</si>
  <si>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</si>
  <si>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</si>
  <si>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</si>
  <si>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</si>
  <si>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</si>
  <si>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</si>
  <si>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</si>
  <si>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</si>
  <si>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</si>
  <si>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</si>
  <si>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</si>
  <si>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</si>
  <si>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</si>
  <si>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</si>
  <si>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</si>
  <si>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</si>
  <si>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</si>
  <si>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</si>
  <si>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</si>
  <si>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</si>
  <si>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</si>
  <si>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</si>
  <si>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</si>
  <si>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</si>
  <si>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</si>
  <si>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</si>
  <si>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</si>
  <si>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</si>
  <si>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</si>
  <si>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</si>
  <si>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</si>
  <si>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</si>
  <si>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</si>
  <si>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</si>
  <si>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</si>
  <si>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</si>
  <si>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</si>
  <si>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</si>
  <si>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</si>
  <si>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</si>
  <si>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</si>
  <si>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</si>
  <si>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</si>
  <si>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</si>
  <si>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</si>
  <si>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</si>
  <si>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</si>
  <si>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</si>
  <si>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</si>
  <si>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</si>
  <si>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</si>
  <si>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</si>
  <si>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</si>
  <si>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</si>
  <si>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</si>
  <si>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</si>
  <si>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</si>
  <si>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</si>
  <si>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</si>
  <si>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</si>
  <si>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</si>
  <si>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</si>
  <si>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</si>
  <si>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</si>
  <si>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</si>
  <si>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</si>
  <si>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</si>
  <si>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</si>
  <si>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</si>
  <si>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</si>
  <si>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</si>
  <si>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</si>
  <si>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</si>
  <si>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</si>
  <si>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</si>
  <si>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</si>
  <si>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</si>
  <si>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</si>
  <si>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</si>
  <si>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</si>
  <si>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</si>
  <si>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</si>
  <si>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</si>
  <si>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</si>
  <si>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</si>
  <si>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</si>
  <si>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</si>
  <si>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</si>
  <si>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</si>
  <si>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</si>
  <si>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</si>
  <si>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</si>
  <si>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</si>
  <si>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</si>
  <si>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</si>
  <si>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</si>
  <si>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</si>
  <si>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</si>
  <si>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</si>
  <si>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</si>
  <si>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</si>
  <si>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</si>
  <si>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</si>
  <si>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</si>
  <si>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</si>
  <si>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</si>
  <si>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</si>
  <si>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</si>
  <si>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</si>
  <si>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</si>
  <si>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</si>
  <si>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</si>
  <si>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</si>
  <si>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</si>
  <si>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</si>
  <si>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</si>
  <si>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</si>
  <si>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</si>
  <si>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</si>
  <si>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</si>
  <si>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</si>
  <si>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</si>
  <si>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</si>
  <si>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</si>
  <si>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</si>
  <si>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</si>
  <si>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</si>
  <si>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</si>
  <si>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</si>
  <si>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</si>
  <si>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</si>
  <si>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</si>
  <si>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</si>
  <si>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</si>
  <si>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</si>
  <si>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</si>
  <si>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</si>
  <si>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</si>
  <si>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</si>
  <si>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</si>
  <si>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</si>
  <si>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</si>
  <si>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</si>
  <si>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</si>
  <si>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</si>
  <si>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</si>
  <si>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</si>
  <si>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</si>
  <si>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</si>
  <si>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</si>
  <si>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</si>
  <si>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</si>
  <si>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</si>
  <si>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</si>
  <si>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</si>
  <si>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</si>
  <si>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</si>
  <si>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</si>
  <si>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</si>
  <si>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</si>
  <si>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</si>
  <si>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</si>
  <si>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</si>
  <si>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</si>
  <si>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</si>
  <si>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</si>
  <si>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</si>
  <si>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</si>
  <si>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</si>
  <si>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</si>
  <si>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</si>
  <si>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</si>
  <si>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</si>
  <si>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</si>
  <si>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</si>
  <si>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</si>
  <si>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</si>
  <si>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</si>
  <si>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</si>
  <si>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</si>
  <si>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</si>
  <si>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</si>
  <si>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</si>
  <si>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</si>
  <si>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</si>
  <si>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</si>
  <si>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</si>
  <si>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</si>
  <si>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</si>
  <si>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</si>
  <si>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</si>
  <si>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</si>
  <si>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</si>
  <si>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</si>
  <si>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</si>
  <si>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</si>
  <si>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</si>
  <si>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</si>
  <si>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</si>
  <si>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</si>
  <si>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</si>
  <si>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</si>
  <si>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</si>
  <si>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</si>
  <si>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</si>
  <si>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</si>
  <si>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</si>
  <si>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</si>
  <si>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</si>
  <si>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</si>
  <si>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</si>
  <si>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</si>
  <si>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</si>
  <si>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</si>
  <si>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</si>
  <si>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</si>
  <si>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</si>
  <si>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</si>
  <si>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</si>
  <si>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</si>
  <si>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</si>
  <si>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</si>
  <si>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</si>
  <si>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</si>
  <si>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</si>
  <si>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</si>
  <si>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</si>
  <si>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</si>
  <si>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</si>
  <si>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</si>
  <si>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</si>
  <si>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</si>
  <si>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</si>
  <si>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</si>
  <si>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</si>
  <si>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</si>
  <si>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</si>
  <si>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</si>
  <si>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</si>
  <si>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</si>
  <si>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</si>
  <si>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</si>
  <si>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</si>
  <si>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</si>
  <si>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</si>
  <si>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</si>
  <si>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</si>
  <si>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</si>
  <si>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</si>
  <si>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</si>
  <si>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</si>
  <si>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</si>
  <si>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</si>
  <si>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</si>
  <si>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</si>
  <si>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</si>
  <si>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</si>
  <si>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</si>
  <si>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</si>
  <si>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</si>
  <si>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</si>
  <si>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</si>
  <si>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</si>
  <si>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</si>
  <si>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</si>
  <si>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</si>
  <si>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</si>
  <si>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</si>
  <si>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</si>
  <si>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</si>
  <si>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</si>
  <si>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</si>
  <si>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</si>
  <si>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</si>
  <si>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</si>
  <si>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</si>
  <si>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</si>
  <si>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</si>
  <si>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</si>
  <si>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</si>
  <si>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</si>
  <si>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</si>
  <si>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</si>
  <si>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</si>
  <si>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</si>
  <si>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</si>
  <si>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</si>
  <si>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</si>
  <si>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</si>
  <si>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</si>
  <si>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</si>
  <si>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</si>
  <si>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</si>
  <si>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</si>
  <si>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</si>
  <si>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</si>
  <si>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</si>
  <si>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</si>
  <si>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</si>
  <si>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</si>
  <si>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</si>
  <si>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</si>
  <si>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</si>
  <si>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</si>
  <si>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</si>
  <si>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</si>
  <si>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</si>
  <si>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</si>
  <si>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</si>
  <si>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</si>
  <si>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</si>
  <si>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</si>
  <si>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</si>
  <si>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</si>
  <si>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</si>
  <si>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</si>
  <si>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</si>
  <si>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</si>
  <si>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</si>
  <si>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</si>
  <si>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</si>
  <si>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</si>
  <si>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</si>
  <si>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</si>
  <si>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</si>
  <si>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</si>
  <si>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</si>
  <si>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</si>
  <si>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</si>
  <si>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</si>
  <si>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</si>
  <si>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</si>
  <si>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</si>
  <si>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</si>
  <si>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</si>
  <si>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</si>
  <si>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</si>
  <si>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</si>
  <si>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</si>
  <si>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</si>
  <si>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</si>
  <si>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</si>
  <si>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</si>
  <si>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</si>
  <si>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</si>
  <si>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</si>
  <si>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</si>
  <si>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</si>
  <si>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</si>
  <si>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</si>
  <si>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</si>
  <si>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</si>
  <si>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</si>
  <si>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</si>
  <si>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</si>
  <si>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</si>
  <si>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</si>
  <si>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</si>
  <si>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</si>
  <si>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</si>
  <si>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</si>
  <si>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</si>
  <si>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</si>
  <si>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</si>
  <si>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</si>
  <si>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</si>
  <si>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</si>
  <si>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</si>
  <si>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</si>
  <si>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</si>
  <si>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</si>
  <si>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</si>
  <si>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</si>
  <si>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</si>
  <si>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</si>
  <si>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</si>
  <si>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</si>
  <si>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</si>
  <si>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</si>
  <si>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</si>
  <si>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</si>
  <si>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</si>
  <si>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</si>
  <si>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</si>
  <si>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</si>
  <si>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</si>
  <si>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</si>
  <si>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</si>
  <si>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</si>
  <si>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</si>
  <si>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</si>
  <si>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</si>
  <si>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</si>
  <si>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</si>
  <si>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</si>
  <si>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</si>
  <si>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</si>
  <si>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</si>
  <si>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</si>
  <si>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</si>
  <si>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</si>
  <si>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</si>
  <si>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</si>
  <si>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</si>
  <si>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</si>
  <si>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</si>
  <si>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</si>
  <si>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</si>
  <si>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</si>
  <si>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</si>
  <si>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</si>
  <si>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</si>
  <si>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</si>
  <si>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</si>
  <si>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</si>
  <si>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</si>
  <si>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</si>
  <si>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</si>
  <si>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</si>
  <si>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</si>
  <si>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</si>
  <si>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</si>
  <si>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</si>
  <si>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</si>
  <si>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</si>
  <si>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</si>
  <si>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</si>
  <si>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</si>
  <si>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</si>
  <si>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</si>
  <si>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</si>
  <si>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</si>
  <si>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</si>
  <si>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</si>
  <si>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</si>
  <si>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</si>
  <si>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</si>
  <si>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</si>
  <si>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</si>
  <si>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</si>
  <si>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</si>
  <si>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</si>
  <si>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</si>
  <si>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</si>
  <si>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</si>
  <si>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</si>
  <si>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</si>
  <si>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</si>
  <si>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</si>
  <si>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</si>
  <si>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</si>
  <si>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</si>
  <si>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</si>
  <si>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</si>
  <si>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</si>
  <si>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</si>
  <si>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</si>
  <si>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</si>
  <si>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</si>
  <si>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</si>
  <si>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</si>
  <si>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</si>
  <si>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</si>
  <si>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</si>
  <si>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</si>
  <si>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</si>
  <si>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</si>
  <si>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</si>
  <si>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</si>
  <si>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</si>
  <si>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</si>
  <si>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</si>
  <si>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</si>
  <si>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</si>
  <si>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</si>
  <si>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</si>
  <si>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</si>
  <si>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</si>
  <si>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</si>
  <si>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</si>
  <si>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</si>
  <si>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</si>
  <si>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</si>
  <si>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</si>
  <si>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</si>
  <si>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</si>
  <si>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</si>
  <si>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</si>
  <si>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</si>
  <si>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</si>
  <si>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</si>
  <si>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</si>
  <si>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</si>
  <si>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</si>
  <si>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</si>
  <si>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</si>
  <si>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</si>
  <si>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</si>
  <si>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</si>
  <si>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</si>
  <si>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</si>
  <si>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</si>
  <si>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</si>
  <si>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</si>
  <si>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</si>
  <si>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</si>
  <si>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</si>
  <si>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</si>
  <si>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</si>
  <si>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</si>
  <si>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</si>
  <si>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</si>
  <si>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</si>
  <si>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</si>
  <si>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</si>
  <si>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</si>
  <si>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</si>
  <si>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</si>
  <si>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</si>
  <si>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</si>
  <si>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</si>
  <si>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</si>
  <si>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</si>
  <si>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</si>
  <si>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</si>
  <si>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</si>
  <si>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</si>
  <si>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</si>
  <si>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</si>
  <si>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</si>
  <si>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</si>
  <si>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</si>
  <si>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</si>
  <si>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</si>
  <si>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</si>
  <si>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</si>
  <si>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</si>
  <si>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</si>
  <si>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</si>
  <si>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</si>
  <si>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</si>
  <si>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</si>
  <si>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</si>
  <si>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</si>
  <si>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</si>
  <si>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</si>
  <si>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</si>
  <si>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</si>
  <si>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</si>
  <si>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</si>
  <si>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</si>
  <si>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</si>
  <si>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</si>
  <si>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</si>
  <si>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</si>
  <si>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</si>
  <si>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</si>
  <si>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</si>
  <si>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</si>
  <si>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</si>
  <si>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</si>
  <si>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</si>
  <si>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</si>
  <si>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</si>
  <si>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</si>
  <si>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</si>
  <si>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</si>
  <si>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</si>
  <si>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</si>
  <si>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</si>
  <si>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</si>
  <si>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</si>
  <si>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</si>
  <si>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</si>
  <si>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</si>
  <si>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</si>
  <si>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</si>
  <si>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</si>
  <si>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</si>
  <si>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</si>
  <si>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</si>
  <si>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</si>
  <si>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</si>
  <si>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</si>
  <si>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</si>
  <si>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</si>
  <si>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</si>
  <si>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</si>
  <si>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</si>
  <si>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</si>
  <si>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</si>
  <si>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</si>
  <si>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</si>
  <si>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</si>
  <si>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</si>
  <si>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</si>
  <si>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</si>
  <si>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</si>
  <si>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</si>
  <si>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</si>
  <si>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</si>
  <si>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</si>
  <si>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</si>
  <si>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</si>
  <si>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</si>
  <si>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</si>
  <si>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</si>
  <si>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</si>
  <si>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</si>
  <si>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</si>
  <si>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</si>
  <si>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</si>
  <si>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</si>
  <si>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</si>
  <si>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</si>
  <si>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</si>
  <si>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</si>
  <si>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</si>
  <si>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</si>
  <si>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</si>
  <si>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</si>
  <si>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</si>
  <si>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</si>
  <si>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</si>
  <si>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</si>
  <si>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</si>
  <si>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</si>
  <si>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</si>
  <si>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</si>
  <si>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</si>
  <si>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</si>
  <si>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</si>
  <si>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</si>
  <si>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</si>
  <si>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</si>
  <si>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</si>
  <si>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</si>
  <si>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</si>
  <si>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</si>
  <si>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</si>
  <si>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</si>
  <si>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</si>
  <si>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</si>
  <si>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</si>
  <si>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</si>
  <si>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</si>
  <si>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</si>
  <si>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</si>
  <si>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</si>
  <si>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</si>
  <si>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</si>
  <si>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</si>
  <si>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</si>
  <si>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</si>
  <si>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</si>
  <si>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</si>
  <si>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</si>
  <si>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</si>
  <si>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</si>
  <si>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</si>
  <si>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</si>
  <si>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</si>
  <si>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</si>
  <si>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</si>
  <si>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</si>
  <si>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</si>
  <si>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</si>
  <si>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</si>
  <si>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</si>
  <si>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</si>
  <si>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</si>
  <si>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</si>
  <si>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</si>
  <si>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</si>
  <si>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</si>
  <si>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</si>
  <si>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</si>
  <si>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</si>
  <si>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</si>
  <si>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</si>
  <si>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</si>
  <si>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</si>
  <si>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</si>
  <si>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</si>
  <si>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</si>
  <si>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</si>
  <si>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</si>
  <si>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</si>
  <si>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</si>
  <si>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</si>
  <si>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</si>
  <si>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</si>
  <si>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</si>
  <si>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</si>
  <si>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</si>
  <si>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</si>
  <si>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</si>
  <si>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</si>
  <si>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</si>
  <si>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</si>
  <si>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</si>
  <si>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</si>
  <si>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</si>
  <si>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</si>
  <si>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</si>
  <si>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</si>
  <si>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</si>
  <si>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</si>
  <si>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</si>
  <si>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</si>
  <si>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</si>
  <si>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</si>
  <si>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</si>
  <si>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</si>
  <si>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</si>
  <si>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</si>
  <si>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</si>
  <si>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</si>
  <si>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</si>
  <si>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</si>
  <si>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</si>
  <si>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</si>
  <si>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</si>
  <si>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</si>
  <si>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</si>
  <si>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</si>
  <si>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</si>
  <si>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</si>
  <si>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</si>
  <si>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</si>
  <si>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</si>
  <si>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</si>
  <si>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</si>
  <si>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</si>
  <si>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</si>
  <si>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</si>
  <si>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</si>
  <si>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</si>
  <si>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</si>
  <si>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</si>
  <si>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</si>
  <si>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</si>
  <si>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</si>
  <si>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</si>
  <si>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</si>
  <si>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</si>
  <si>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</si>
  <si>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</si>
  <si>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</si>
  <si>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</si>
  <si>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</si>
  <si>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</si>
  <si>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</si>
  <si>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</si>
  <si>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</si>
  <si>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</si>
  <si>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</si>
  <si>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</si>
  <si>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</si>
  <si>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</si>
  <si>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</si>
  <si>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</si>
  <si>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</si>
  <si>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</si>
  <si>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</si>
  <si>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</si>
  <si>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</si>
  <si>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</si>
  <si>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</si>
  <si>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</si>
  <si>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</si>
  <si>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</si>
  <si>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</si>
  <si>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</si>
  <si>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</si>
  <si>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</si>
  <si>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</si>
  <si>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</si>
  <si>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</si>
  <si>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</si>
  <si>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</si>
  <si>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</si>
  <si>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</si>
  <si>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</si>
  <si>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</si>
  <si>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</si>
  <si>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</si>
  <si>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</si>
  <si>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</si>
  <si>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</si>
  <si>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</si>
  <si>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</si>
  <si>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</si>
  <si>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</si>
  <si>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</si>
  <si>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</si>
  <si>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</si>
  <si>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</si>
  <si>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</si>
  <si>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</si>
  <si>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</si>
  <si>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</si>
  <si>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</si>
  <si>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</si>
  <si>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</si>
  <si>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</si>
  <si>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</si>
  <si>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</si>
  <si>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</si>
  <si>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</si>
  <si>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</si>
  <si>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</si>
  <si>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</si>
  <si>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</si>
  <si>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</si>
  <si>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</si>
  <si>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</si>
  <si>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</si>
  <si>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</si>
  <si>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</si>
  <si>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</si>
  <si>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</si>
  <si>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</si>
  <si>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</si>
  <si>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</si>
  <si>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</si>
  <si>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</si>
  <si>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</si>
  <si>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</si>
  <si>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</si>
  <si>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</si>
  <si>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</si>
  <si>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</si>
  <si>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</si>
  <si>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</si>
  <si>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</si>
  <si>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</si>
  <si>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</si>
  <si>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</si>
  <si>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</si>
  <si>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</si>
  <si>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</si>
  <si>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</si>
  <si>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</si>
  <si>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</si>
  <si>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</si>
  <si>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</si>
  <si>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</si>
  <si>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</si>
  <si>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</si>
  <si>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</si>
  <si>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</si>
  <si>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</si>
  <si>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</si>
  <si>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</si>
  <si>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</si>
  <si>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</si>
  <si>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</si>
  <si>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</si>
  <si>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</si>
  <si>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</si>
  <si>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</si>
  <si>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</si>
  <si>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</si>
  <si>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</si>
  <si>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</si>
  <si>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</si>
  <si>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</si>
  <si>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</si>
  <si>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</si>
  <si>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</si>
  <si>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</si>
  <si>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</si>
  <si>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</si>
  <si>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</si>
  <si>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</si>
  <si>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</si>
  <si>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</si>
  <si>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</si>
  <si>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</si>
  <si>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</si>
  <si>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</si>
  <si>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</si>
  <si>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</si>
  <si>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</si>
  <si>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</si>
  <si>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</si>
  <si>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</si>
  <si>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</si>
  <si>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</si>
  <si>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</si>
  <si>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</si>
  <si>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</si>
  <si>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</si>
  <si>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</si>
  <si>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</si>
  <si>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</si>
  <si>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</si>
  <si>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</si>
  <si>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</si>
  <si>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</si>
  <si>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</si>
  <si>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</si>
  <si>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</si>
  <si>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</si>
  <si>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</si>
  <si>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</si>
  <si>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</si>
  <si>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</si>
  <si>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</si>
  <si>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</si>
  <si>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</si>
  <si>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</si>
  <si>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</si>
  <si>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</si>
  <si>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</si>
  <si>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</si>
  <si>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</si>
  <si>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</si>
  <si>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</si>
  <si>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</si>
  <si>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</si>
  <si>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</si>
  <si>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</si>
  <si>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</si>
  <si>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</si>
  <si>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</si>
  <si>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</si>
  <si>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</si>
  <si>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</si>
  <si>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</si>
  <si>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</si>
  <si>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</si>
  <si>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</si>
  <si>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</si>
  <si>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</si>
  <si>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</si>
  <si>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</si>
  <si>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</si>
  <si>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</si>
  <si>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</si>
  <si>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</si>
  <si>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</si>
  <si>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</si>
  <si>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</si>
  <si>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</si>
  <si>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</si>
  <si>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</si>
  <si>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</si>
  <si>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</si>
  <si>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</si>
  <si>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</si>
  <si>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</si>
  <si>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</si>
  <si>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</si>
  <si>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</si>
  <si>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</si>
  <si>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</si>
  <si>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</si>
  <si>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</si>
  <si>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</si>
  <si>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</si>
  <si>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</si>
  <si>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</si>
  <si>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</si>
  <si>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</si>
  <si>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</si>
  <si>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</si>
  <si>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</si>
  <si>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</si>
  <si>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</si>
  <si>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</si>
  <si>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</si>
  <si>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</si>
  <si>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</si>
  <si>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</si>
  <si>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</si>
  <si>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</si>
  <si>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</si>
  <si>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</si>
  <si>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</si>
  <si>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</si>
  <si>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</si>
  <si>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</si>
  <si>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</si>
  <si>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</si>
  <si>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</si>
  <si>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</si>
  <si>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</si>
  <si>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</si>
  <si>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</si>
  <si>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</si>
  <si>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</si>
  <si>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</si>
  <si>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</si>
  <si>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</si>
  <si>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</si>
  <si>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</si>
  <si>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</si>
  <si>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</si>
  <si>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</si>
  <si>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</si>
  <si>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</si>
  <si>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</si>
  <si>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</si>
  <si>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</si>
  <si>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</si>
  <si>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</si>
  <si>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</si>
  <si>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</si>
  <si>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</si>
  <si>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</si>
  <si>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</si>
  <si>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</si>
  <si>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</si>
  <si>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</si>
  <si>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</si>
  <si>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</si>
  <si>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</si>
  <si>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</si>
  <si>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</si>
  <si>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</si>
  <si>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</si>
  <si>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</si>
  <si>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</si>
  <si>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</si>
  <si>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</si>
  <si>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</si>
  <si>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</si>
  <si>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</si>
  <si>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</si>
  <si>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</si>
  <si>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</si>
  <si>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</si>
  <si>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</si>
  <si>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</si>
  <si>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</si>
  <si>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</si>
  <si>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</si>
  <si>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</si>
  <si>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</si>
  <si>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</si>
  <si>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</si>
  <si>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</si>
  <si>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</si>
  <si>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</si>
  <si>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</si>
  <si>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</si>
  <si>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</si>
  <si>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</si>
  <si>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</si>
  <si>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</si>
  <si>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</si>
  <si>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</si>
  <si>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</si>
  <si>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</si>
  <si>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</si>
  <si>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</si>
  <si>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</si>
  <si>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</si>
  <si>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</si>
  <si>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</si>
  <si>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</si>
  <si>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</si>
  <si>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</si>
  <si>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</si>
  <si>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</si>
  <si>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</si>
  <si>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</si>
  <si>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</si>
  <si>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</si>
  <si>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</si>
  <si>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</si>
  <si>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</si>
  <si>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</si>
  <si>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</si>
  <si>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</si>
  <si>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</si>
  <si>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</si>
  <si>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</si>
  <si>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</si>
  <si>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</si>
  <si>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</si>
  <si>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</si>
  <si>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</si>
  <si>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</si>
  <si>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</si>
  <si>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</si>
  <si>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</si>
  <si>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</si>
  <si>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</si>
  <si>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</si>
  <si>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</si>
  <si>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</si>
  <si>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</si>
  <si>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</si>
  <si>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</si>
  <si>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</si>
  <si>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</si>
  <si>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</si>
  <si>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</si>
  <si>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</si>
  <si>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</si>
  <si>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</si>
  <si>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</si>
  <si>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</si>
  <si>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</si>
  <si>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</si>
  <si>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</si>
  <si>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</si>
  <si>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</si>
  <si>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</si>
  <si>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</si>
  <si>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</si>
  <si>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</si>
  <si>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</si>
  <si>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</si>
  <si>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</si>
  <si>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</si>
  <si>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</si>
  <si>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</si>
  <si>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</si>
  <si>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</si>
  <si>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</si>
  <si>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</si>
  <si>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</si>
  <si>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</si>
  <si>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</si>
  <si>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</si>
  <si>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</si>
  <si>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</si>
  <si>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</si>
  <si>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</si>
  <si>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</si>
  <si>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</si>
  <si>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</si>
  <si>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</si>
  <si>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</si>
  <si>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</si>
  <si>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</si>
  <si>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</si>
  <si>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</si>
  <si>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</si>
  <si>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</si>
  <si>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</si>
  <si>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</si>
  <si>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</si>
  <si>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</si>
  <si>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</si>
  <si>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</si>
  <si>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</si>
  <si>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</si>
  <si>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</si>
  <si>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</si>
  <si>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</si>
  <si>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</si>
  <si>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</si>
  <si>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</si>
  <si>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</si>
  <si>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</si>
  <si>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</si>
  <si>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</si>
  <si>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</si>
  <si>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</si>
  <si>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</si>
  <si>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</si>
  <si>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</si>
  <si>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</si>
  <si>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</si>
  <si>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</si>
  <si>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</si>
  <si>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</si>
  <si>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</si>
  <si>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</si>
  <si>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</si>
  <si>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</si>
  <si>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</si>
  <si>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</si>
  <si>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</si>
  <si>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</si>
  <si>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</si>
  <si>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</si>
  <si>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</si>
  <si>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</si>
  <si>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</si>
  <si>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</si>
  <si>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</si>
  <si>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</si>
  <si>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</si>
  <si>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</si>
  <si>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</si>
  <si>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</si>
  <si>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</si>
  <si>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</si>
  <si>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</si>
  <si>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</si>
  <si>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</si>
  <si>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</si>
  <si>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</si>
  <si>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</si>
  <si>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</si>
  <si>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</si>
  <si>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</si>
  <si>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</si>
  <si>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</si>
  <si>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</si>
  <si>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</si>
  <si>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</si>
  <si>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</si>
  <si>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</si>
  <si>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</si>
  <si>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</si>
  <si>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</si>
  <si>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</si>
  <si>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</si>
  <si>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</si>
  <si>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</si>
  <si>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</si>
  <si>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</si>
  <si>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</si>
  <si>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</si>
  <si>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</si>
  <si>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</si>
  <si>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</si>
  <si>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</si>
  <si>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</si>
  <si>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</si>
  <si>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</si>
  <si>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</si>
  <si>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</si>
  <si>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</si>
  <si>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</si>
  <si>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</si>
  <si>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</si>
  <si>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</si>
  <si>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</si>
  <si>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</si>
  <si>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</si>
  <si>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</si>
  <si>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</si>
  <si>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</si>
  <si>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</si>
  <si>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</si>
  <si>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</si>
  <si>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</si>
  <si>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</si>
  <si>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</si>
  <si>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</si>
  <si>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</si>
  <si>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</si>
  <si>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</si>
  <si>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</si>
  <si>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</si>
  <si>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</si>
  <si>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</si>
  <si>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</si>
  <si>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</si>
  <si>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</si>
  <si>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</si>
  <si>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</si>
  <si>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</si>
  <si>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</si>
  <si>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</si>
  <si>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</si>
  <si>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</si>
  <si>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</si>
  <si>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</si>
  <si>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</si>
  <si>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</si>
  <si>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</si>
  <si>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</si>
  <si>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</si>
  <si>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</si>
  <si>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</si>
  <si>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</si>
  <si>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</si>
  <si>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</si>
  <si>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</si>
  <si>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</si>
  <si>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</si>
  <si>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</si>
  <si>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</si>
  <si>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</si>
  <si>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</si>
  <si>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</si>
  <si>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</si>
  <si>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</si>
  <si>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</si>
  <si>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</si>
  <si>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</si>
  <si>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</si>
  <si>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</si>
  <si>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</si>
  <si>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</si>
  <si>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</si>
  <si>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</si>
  <si>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</si>
  <si>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</si>
  <si>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</si>
  <si>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</si>
  <si>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</si>
  <si>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</si>
  <si>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</si>
  <si>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</si>
  <si>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</si>
  <si>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</si>
  <si>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</si>
  <si>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</si>
  <si>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</si>
  <si>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</si>
  <si>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</si>
  <si>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</si>
  <si>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</si>
  <si>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</si>
  <si>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</si>
  <si>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</si>
  <si>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</si>
  <si>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</si>
  <si>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</si>
  <si>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</si>
  <si>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</si>
  <si>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</si>
  <si>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</si>
  <si>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</si>
  <si>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</si>
  <si>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</si>
  <si>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</si>
  <si>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</si>
  <si>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</si>
  <si>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</si>
  <si>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</si>
  <si>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</si>
  <si>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</si>
  <si>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</si>
  <si>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</si>
  <si>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</si>
  <si>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</si>
  <si>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</si>
  <si>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</si>
  <si>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</si>
  <si>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</si>
  <si>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</si>
  <si>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</si>
  <si>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</si>
  <si>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</si>
  <si>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</si>
  <si>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</si>
  <si>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</si>
  <si>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</si>
  <si>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</si>
  <si>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</si>
  <si>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</si>
  <si>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</si>
  <si>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</si>
  <si>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</si>
  <si>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</si>
  <si>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</si>
  <si>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</si>
  <si>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</si>
  <si>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</si>
  <si>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</si>
  <si>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</si>
  <si>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</si>
  <si>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</si>
  <si>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</si>
  <si>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</si>
  <si>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</si>
  <si>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</si>
  <si>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</si>
  <si>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</si>
  <si>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</si>
  <si>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</si>
  <si>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</si>
  <si>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</si>
  <si>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</si>
  <si>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</si>
  <si>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</si>
  <si>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</si>
  <si>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</si>
  <si>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</si>
  <si>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</si>
  <si>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</si>
  <si>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</si>
  <si>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</si>
  <si>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</si>
  <si>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</si>
  <si>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</si>
  <si>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</si>
  <si>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</si>
  <si>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</si>
  <si>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</si>
  <si>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</si>
  <si>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</si>
  <si>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</si>
  <si>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</si>
  <si>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</si>
  <si>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</si>
  <si>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</si>
  <si>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</si>
  <si>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</si>
  <si>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</si>
  <si>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</si>
  <si>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</si>
  <si>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</si>
  <si>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</si>
  <si>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</si>
  <si>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</si>
  <si>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</si>
  <si>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</si>
  <si>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</si>
  <si>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</si>
  <si>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</si>
  <si>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</si>
  <si>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</si>
  <si>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</si>
  <si>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</si>
  <si>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</si>
  <si>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</si>
  <si>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</si>
  <si>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</si>
  <si>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</si>
  <si>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</si>
  <si>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</si>
  <si>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</si>
  <si>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</si>
  <si>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</si>
  <si>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</si>
  <si>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</si>
  <si>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</si>
  <si>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</si>
  <si>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</si>
  <si>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</si>
  <si>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</si>
  <si>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</si>
  <si>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</si>
  <si>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</si>
  <si>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</si>
  <si>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</si>
  <si>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</si>
  <si>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</si>
  <si>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</si>
  <si>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</si>
  <si>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</si>
  <si>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</si>
  <si>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</si>
  <si>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</si>
  <si>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</si>
  <si>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</si>
  <si>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</si>
  <si>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</si>
  <si>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</si>
  <si>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</si>
  <si>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</si>
  <si>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</si>
  <si>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</si>
  <si>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</si>
  <si>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</si>
  <si>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</si>
  <si>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</si>
  <si>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</si>
  <si>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</si>
  <si>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</si>
  <si>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</si>
  <si>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</si>
  <si>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</si>
  <si>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</si>
  <si>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</si>
  <si>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</si>
  <si>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</si>
  <si>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</si>
  <si>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</si>
  <si>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</si>
  <si>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</si>
  <si>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</si>
  <si>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</si>
  <si>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</si>
  <si>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</si>
  <si>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</si>
  <si>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</si>
  <si>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</si>
  <si>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</si>
  <si>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</si>
  <si>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</si>
  <si>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</si>
  <si>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</si>
  <si>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</si>
  <si>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</si>
  <si>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</si>
  <si>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</si>
  <si>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</si>
  <si>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</si>
  <si>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</si>
  <si>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</si>
  <si>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</si>
  <si>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</si>
  <si>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</si>
  <si>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</si>
  <si>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</si>
  <si>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</si>
  <si>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</si>
  <si>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</si>
  <si>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</si>
  <si>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</si>
  <si>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</si>
  <si>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</si>
  <si>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</si>
  <si>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</si>
  <si>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</si>
  <si>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</si>
  <si>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</si>
  <si>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</si>
  <si>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</si>
  <si>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</si>
  <si>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</si>
  <si>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</si>
  <si>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</si>
  <si>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</si>
  <si>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</si>
  <si>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</si>
  <si>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</si>
  <si>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</si>
  <si>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</si>
  <si>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</si>
  <si>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</si>
  <si>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</si>
  <si>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</si>
  <si>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</si>
  <si>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</si>
  <si>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</si>
  <si>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</si>
  <si>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</si>
  <si>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</si>
  <si>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</si>
  <si>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</si>
  <si>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</si>
  <si>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</si>
  <si>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</si>
  <si>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</si>
  <si>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</si>
  <si>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</si>
  <si>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</si>
  <si>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</si>
  <si>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</si>
  <si>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</si>
  <si>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</si>
  <si>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</si>
  <si>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</si>
  <si>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</si>
  <si>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</si>
  <si>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</si>
  <si>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</si>
  <si>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</si>
  <si>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</si>
  <si>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</si>
  <si>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</si>
  <si>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</si>
  <si>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</si>
  <si>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</si>
  <si>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</si>
  <si>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</si>
  <si>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</si>
  <si>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</si>
  <si>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</si>
  <si>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</si>
  <si>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</si>
  <si>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</si>
  <si>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</si>
  <si>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</si>
  <si>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</si>
  <si>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</si>
  <si>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</si>
  <si>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</si>
  <si>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</si>
  <si>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</si>
  <si>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</si>
  <si>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</si>
  <si>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</si>
  <si>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</si>
  <si>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</si>
  <si>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</si>
  <si>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</si>
  <si>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</si>
  <si>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</si>
  <si>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</si>
  <si>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</si>
  <si>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</si>
  <si>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</si>
  <si>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</si>
  <si>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</si>
  <si>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</si>
  <si>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</si>
  <si>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</si>
  <si>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</si>
  <si>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</si>
  <si>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</si>
  <si>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</si>
  <si>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</si>
  <si>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</si>
  <si>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</si>
  <si>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</si>
  <si>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</si>
  <si>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</si>
  <si>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</si>
  <si>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</si>
  <si>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</si>
  <si>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</si>
  <si>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</si>
  <si>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</si>
  <si>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</si>
  <si>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</si>
  <si>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</si>
  <si>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</si>
  <si>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</si>
  <si>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</si>
  <si>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</si>
  <si>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</si>
  <si>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</si>
  <si>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</si>
  <si>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</si>
  <si>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</si>
  <si>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</si>
  <si>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</si>
  <si>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</si>
  <si>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</si>
  <si>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</si>
  <si>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</si>
  <si>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</si>
  <si>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</si>
  <si>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</si>
  <si>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</si>
  <si>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</si>
  <si>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</si>
  <si>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</si>
  <si>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</si>
  <si>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</si>
  <si>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</si>
  <si>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</si>
  <si>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</si>
  <si>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</si>
  <si>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</si>
  <si>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</si>
  <si>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</si>
  <si>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</si>
  <si>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</si>
  <si>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</si>
  <si>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</si>
  <si>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</si>
  <si>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</si>
  <si>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</si>
  <si>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</si>
  <si>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</si>
  <si>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</si>
  <si>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</si>
  <si>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</si>
  <si>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</si>
  <si>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</si>
  <si>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</si>
  <si>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</si>
  <si>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</si>
  <si>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</si>
  <si>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</si>
  <si>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</si>
  <si>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</si>
  <si>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</si>
  <si>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</si>
  <si>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</si>
  <si>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</si>
  <si>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</si>
  <si>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</si>
  <si>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</si>
  <si>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</si>
  <si>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</si>
  <si>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</si>
  <si>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</si>
  <si>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</si>
  <si>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</si>
  <si>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</si>
  <si>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</si>
  <si>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</si>
  <si>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</si>
  <si>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</si>
  <si>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</si>
  <si>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</si>
  <si>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</si>
  <si>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</si>
  <si>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</si>
  <si>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</si>
  <si>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</si>
  <si>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</si>
  <si>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</si>
  <si>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</si>
  <si>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</si>
  <si>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</si>
  <si>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</si>
  <si>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</si>
  <si>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</si>
  <si>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</si>
  <si>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</si>
  <si>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</si>
  <si>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</si>
  <si>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</si>
  <si>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</si>
  <si>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</si>
  <si>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</si>
  <si>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</si>
  <si>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</si>
  <si>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</si>
  <si>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</si>
  <si>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</si>
  <si>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</si>
  <si>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</si>
  <si>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</si>
  <si>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</si>
  <si>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</si>
  <si>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</si>
  <si>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</si>
  <si>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</si>
  <si>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</si>
  <si>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</si>
  <si>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</si>
  <si>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</si>
  <si>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</si>
  <si>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</si>
  <si>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</si>
  <si>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</si>
  <si>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</si>
  <si>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</si>
  <si>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</si>
  <si>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</si>
  <si>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</si>
  <si>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</si>
  <si>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</si>
  <si>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</si>
  <si>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</si>
  <si>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</si>
  <si>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</si>
  <si>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</si>
  <si>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</si>
  <si>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</si>
  <si>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</si>
  <si>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</si>
  <si>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</si>
  <si>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</si>
  <si>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</si>
  <si>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</si>
  <si>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</si>
  <si>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</si>
  <si>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</si>
  <si>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</si>
  <si>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</si>
  <si>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</si>
  <si>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</si>
  <si>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</si>
  <si>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</si>
  <si>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</si>
  <si>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</si>
  <si>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</si>
  <si>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</si>
  <si>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</si>
  <si>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</si>
  <si>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</si>
  <si>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</si>
  <si>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</si>
  <si>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</si>
  <si>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</si>
  <si>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</si>
  <si>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</si>
  <si>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</si>
  <si>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</si>
  <si>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</si>
  <si>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</si>
  <si>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</si>
  <si>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</si>
  <si>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</si>
  <si>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</si>
  <si>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</si>
  <si>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</si>
  <si>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</si>
  <si>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</si>
  <si>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</si>
  <si>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</si>
  <si>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</si>
  <si>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</si>
  <si>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</si>
  <si>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</si>
  <si>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</si>
  <si>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</si>
  <si>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</si>
  <si>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</si>
  <si>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</si>
  <si>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</si>
  <si>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</si>
  <si>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</si>
  <si>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</si>
  <si>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</si>
  <si>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</si>
  <si>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</si>
  <si>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</si>
  <si>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</si>
  <si>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</si>
  <si>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</si>
  <si>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</si>
  <si>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</si>
  <si>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</si>
  <si>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</si>
  <si>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</si>
  <si>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</si>
  <si>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</si>
  <si>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</si>
  <si>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</si>
  <si>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</si>
  <si>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</si>
  <si>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</si>
  <si>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</si>
  <si>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</si>
  <si>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</si>
  <si>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</si>
  <si>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</si>
  <si>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</si>
  <si>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</si>
  <si>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</si>
  <si>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</si>
  <si>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</si>
  <si>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</si>
  <si>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</si>
  <si>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</si>
  <si>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</si>
  <si>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</si>
  <si>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</si>
  <si>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</si>
  <si>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</si>
  <si>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</si>
  <si>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</si>
  <si>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</si>
  <si>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</si>
  <si>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</si>
  <si>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</si>
  <si>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</si>
  <si>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</si>
  <si>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</si>
  <si>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</si>
  <si>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</si>
  <si>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</si>
  <si>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</si>
  <si>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</si>
  <si>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</si>
  <si>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</si>
  <si>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</si>
  <si>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</si>
  <si>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</si>
  <si>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</si>
  <si>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</si>
  <si>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</si>
  <si>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</si>
  <si>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</si>
  <si>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</si>
  <si>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</si>
  <si>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</si>
  <si>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</si>
  <si>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</si>
  <si>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</si>
  <si>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</si>
  <si>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</si>
  <si>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</si>
  <si>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</si>
  <si>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</si>
  <si>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</si>
  <si>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</si>
  <si>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</si>
  <si>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</si>
  <si>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</si>
  <si>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</si>
  <si>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</si>
  <si>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</si>
  <si>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</si>
  <si>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</si>
  <si>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</si>
  <si>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</si>
  <si>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</si>
  <si>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</si>
  <si>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</si>
  <si>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</si>
  <si>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</si>
  <si>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</si>
  <si>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</si>
  <si>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</si>
  <si>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</si>
  <si>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</si>
  <si>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</si>
  <si>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</si>
  <si>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</si>
  <si>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</si>
  <si>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</si>
  <si>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</si>
  <si>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</si>
  <si>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</si>
  <si>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</si>
  <si>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</si>
  <si>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</si>
  <si>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</si>
  <si>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</si>
  <si>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</si>
  <si>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</si>
  <si>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</si>
  <si>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</si>
  <si>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</si>
  <si>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</si>
  <si>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</si>
  <si>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</si>
  <si>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</si>
  <si>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</si>
  <si>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</si>
  <si>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</si>
  <si>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</si>
  <si>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</si>
  <si>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</si>
  <si>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</si>
  <si>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</si>
  <si>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</si>
  <si>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</si>
  <si>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</si>
  <si>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</si>
  <si>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</si>
  <si>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</si>
  <si>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</si>
  <si>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</si>
  <si>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</si>
  <si>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</si>
  <si>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</si>
  <si>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</si>
  <si>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</si>
  <si>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</si>
  <si>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</si>
  <si>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</si>
  <si>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</si>
  <si>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</si>
  <si>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</si>
  <si>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</si>
  <si>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</si>
  <si>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</si>
  <si>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</si>
  <si>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</si>
  <si>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</si>
  <si>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</si>
  <si>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</si>
  <si>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</si>
  <si>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</si>
  <si>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</si>
  <si>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</si>
  <si>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</si>
  <si>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</si>
  <si>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</si>
  <si>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</si>
  <si>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</si>
  <si>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</si>
  <si>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</si>
  <si>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</si>
  <si>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</si>
  <si>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</si>
  <si>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</si>
  <si>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</si>
  <si>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</si>
  <si>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</si>
  <si>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</si>
  <si>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</si>
  <si>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</si>
  <si>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</si>
  <si>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</si>
  <si>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</si>
  <si>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</si>
  <si>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</si>
  <si>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</si>
  <si>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</si>
  <si>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</si>
  <si>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</si>
  <si>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</si>
  <si>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</si>
  <si>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</si>
  <si>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</si>
  <si>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</si>
  <si>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</si>
  <si>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</si>
  <si>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</si>
  <si>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</si>
  <si>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</si>
  <si>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</si>
  <si>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</si>
  <si>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</si>
  <si>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</si>
  <si>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</si>
  <si>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</si>
  <si>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</si>
  <si>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</si>
  <si>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</si>
  <si>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</si>
  <si>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</si>
  <si>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</si>
  <si>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</si>
  <si>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</si>
  <si>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</si>
  <si>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</si>
  <si>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</si>
  <si>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</si>
  <si>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</si>
  <si>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</si>
  <si>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</si>
  <si>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</si>
  <si>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</si>
  <si>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</si>
  <si>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</si>
  <si>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</si>
  <si>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</si>
  <si>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</si>
  <si>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</si>
  <si>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</si>
  <si>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</si>
  <si>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</si>
  <si>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</si>
  <si>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</si>
  <si>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</si>
  <si>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</si>
  <si>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</si>
  <si>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</si>
  <si>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</si>
  <si>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</si>
  <si>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</si>
  <si>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</si>
  <si>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</si>
  <si>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</si>
  <si>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</si>
  <si>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</si>
  <si>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</si>
  <si>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</si>
  <si>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</si>
  <si>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</si>
  <si>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</si>
  <si>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</si>
  <si>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</si>
  <si>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</si>
  <si>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</si>
  <si>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</si>
  <si>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</si>
  <si>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</si>
  <si>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</si>
  <si>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</si>
  <si>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</si>
  <si>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</si>
  <si>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</si>
  <si>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</si>
  <si>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</si>
  <si>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</si>
  <si>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</si>
  <si>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</si>
  <si>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</si>
  <si>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</si>
  <si>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</si>
  <si>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</si>
  <si>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</si>
  <si>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</si>
  <si>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</si>
  <si>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</si>
  <si>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</si>
  <si>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</si>
  <si>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</si>
  <si>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</si>
  <si>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</si>
  <si>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</si>
  <si>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</si>
  <si>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</si>
  <si>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</si>
  <si>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</si>
  <si>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</si>
  <si>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</si>
  <si>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</si>
  <si>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</si>
  <si>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</si>
  <si>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</si>
  <si>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</si>
  <si>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</si>
  <si>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</si>
  <si>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</si>
  <si>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</si>
  <si>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</si>
  <si>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</si>
  <si>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</si>
  <si>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</si>
  <si>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</si>
  <si>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</si>
  <si>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</si>
  <si>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</si>
  <si>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</si>
  <si>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</si>
  <si>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</si>
  <si>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</si>
  <si>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</si>
  <si>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</si>
  <si>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</si>
  <si>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</si>
  <si>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</si>
  <si>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</si>
  <si>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</si>
  <si>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</si>
  <si>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</si>
  <si>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</si>
  <si>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</si>
  <si>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</si>
  <si>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</si>
  <si>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</si>
  <si>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</si>
  <si>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</si>
  <si>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</si>
  <si>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</si>
  <si>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</si>
  <si>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</si>
  <si>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</si>
  <si>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</si>
  <si>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</si>
  <si>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</si>
  <si>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</si>
  <si>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</si>
  <si>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</si>
  <si>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</si>
  <si>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</si>
  <si>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</si>
  <si>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</si>
  <si>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</si>
  <si>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</si>
  <si>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</si>
  <si>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</si>
  <si>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</si>
  <si>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</si>
  <si>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</si>
  <si>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</si>
  <si>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</si>
  <si>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</si>
  <si>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</si>
  <si>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</si>
  <si>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</si>
  <si>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</si>
  <si>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</si>
  <si>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</si>
  <si>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</si>
  <si>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</si>
  <si>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</si>
  <si>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</si>
  <si>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</si>
  <si>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</si>
  <si>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</si>
  <si>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</si>
  <si>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</si>
  <si>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</si>
  <si>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</si>
  <si>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</si>
  <si>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</si>
  <si>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</si>
  <si>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</si>
  <si>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</si>
  <si>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</si>
  <si>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</si>
  <si>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</si>
  <si>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</si>
  <si>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</si>
  <si>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</si>
  <si>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</si>
  <si>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</si>
  <si>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</si>
  <si>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</si>
  <si>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</si>
  <si>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</si>
  <si>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</si>
  <si>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</si>
  <si>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</si>
  <si>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</si>
  <si>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</si>
  <si>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</si>
  <si>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</si>
  <si>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</si>
  <si>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</si>
  <si>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</si>
  <si>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</si>
  <si>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</si>
  <si>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</si>
  <si>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</si>
  <si>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</si>
  <si>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</si>
  <si>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</si>
  <si>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</si>
  <si>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</si>
  <si>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</si>
  <si>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</si>
  <si>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</si>
  <si>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</si>
  <si>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</si>
  <si>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</si>
  <si>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</si>
  <si>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</si>
  <si>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</si>
  <si>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</si>
  <si>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</si>
  <si>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</si>
  <si>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</si>
  <si>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</si>
  <si>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</si>
  <si>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</si>
  <si>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</si>
  <si>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</si>
  <si>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</si>
  <si>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</si>
  <si>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</si>
  <si>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</si>
  <si>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</si>
  <si>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</si>
  <si>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</si>
  <si>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</si>
  <si>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</si>
  <si>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</si>
  <si>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</si>
  <si>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</si>
  <si>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</si>
  <si>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</si>
  <si>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</si>
  <si>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</si>
  <si>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</si>
  <si>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</si>
  <si>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</si>
  <si>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</si>
  <si>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</si>
  <si>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</si>
  <si>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</si>
  <si>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</si>
  <si>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</si>
  <si>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</si>
  <si>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</si>
  <si>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</si>
  <si>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</si>
  <si>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</si>
  <si>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</si>
  <si>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</si>
  <si>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</si>
  <si>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</si>
  <si>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</si>
  <si>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</si>
  <si>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</si>
  <si>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</si>
  <si>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</si>
  <si>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</si>
  <si>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</si>
  <si>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</si>
  <si>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</si>
  <si>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</si>
  <si>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</si>
  <si>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</si>
  <si>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</si>
  <si>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</si>
  <si>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</si>
  <si>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</si>
  <si>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</si>
  <si>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</si>
  <si>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</si>
  <si>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</si>
  <si>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</si>
  <si>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</si>
  <si>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</si>
  <si>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</si>
  <si>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</si>
  <si>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</si>
  <si>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</si>
  <si>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</si>
  <si>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</si>
  <si>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</si>
  <si>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</si>
  <si>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</si>
  <si>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</si>
  <si>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</si>
  <si>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</si>
  <si>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</si>
  <si>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</si>
  <si>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</si>
  <si>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</si>
  <si>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</si>
  <si>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</si>
  <si>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</si>
  <si>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</si>
  <si>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</si>
  <si>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</si>
  <si>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</si>
  <si>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</si>
  <si>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</si>
  <si>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</si>
  <si>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</si>
  <si>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</si>
  <si>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</si>
  <si>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</si>
  <si>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</si>
  <si>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</si>
  <si>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</si>
  <si>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</si>
  <si>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</si>
  <si>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</si>
  <si>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</si>
  <si>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</si>
  <si>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</si>
  <si>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</si>
  <si>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</si>
  <si>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</si>
  <si>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</si>
  <si>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</si>
  <si>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</si>
  <si>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</si>
  <si>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</si>
  <si>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</si>
  <si>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</si>
  <si>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</si>
  <si>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</si>
  <si>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</si>
  <si>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</si>
  <si>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</si>
  <si>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</si>
  <si>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</si>
  <si>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</si>
  <si>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</si>
  <si>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</si>
  <si>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</si>
  <si>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</si>
  <si>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</si>
  <si>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</si>
  <si>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</si>
  <si>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</si>
  <si>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</si>
  <si>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</si>
  <si>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</si>
  <si>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</si>
  <si>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</si>
  <si>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</si>
  <si>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</si>
  <si>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</si>
  <si>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</si>
  <si>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</si>
  <si>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</si>
  <si>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</si>
  <si>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</si>
  <si>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</si>
  <si>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</si>
  <si>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</si>
  <si>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</si>
  <si>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</si>
  <si>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</si>
  <si>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</si>
  <si>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</si>
  <si>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</si>
  <si>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</si>
  <si>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</si>
  <si>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</si>
  <si>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</si>
  <si>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</si>
  <si>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</si>
  <si>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</si>
  <si>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</si>
  <si>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</si>
  <si>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</si>
  <si>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</si>
  <si>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</si>
  <si>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</si>
  <si>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</si>
  <si>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</si>
  <si>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</si>
  <si>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</si>
  <si>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</si>
  <si>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</si>
  <si>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</si>
  <si>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</si>
  <si>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</si>
  <si>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</si>
  <si>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</si>
  <si>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</si>
  <si>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</si>
  <si>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</si>
  <si>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</si>
  <si>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</si>
  <si>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</si>
  <si>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</si>
  <si>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</si>
  <si>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</si>
  <si>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</si>
  <si>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</si>
  <si>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</si>
  <si>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</si>
  <si>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</si>
  <si>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</si>
  <si>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</si>
  <si>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</si>
  <si>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</si>
  <si>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</si>
  <si>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</si>
  <si>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</si>
  <si>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</si>
  <si>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</si>
  <si>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</si>
  <si>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</si>
  <si>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</si>
  <si>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</si>
  <si>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</si>
  <si>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</si>
  <si>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</si>
  <si>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</si>
  <si>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</si>
  <si>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</si>
  <si>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</si>
  <si>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</si>
  <si>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</si>
  <si>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</si>
  <si>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</si>
  <si>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</si>
  <si>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</si>
  <si>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</si>
  <si>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</si>
  <si>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</si>
  <si>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</si>
  <si>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</si>
  <si>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</si>
  <si>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</si>
  <si>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</si>
  <si>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</si>
  <si>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</si>
  <si>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</si>
  <si>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</si>
  <si>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</si>
  <si>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</si>
  <si>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</si>
  <si>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</si>
  <si>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</si>
  <si>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</si>
  <si>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</si>
  <si>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</si>
  <si>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</si>
  <si>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</si>
  <si>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</si>
  <si>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</si>
  <si>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</si>
  <si>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</si>
  <si>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</si>
  <si>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</si>
  <si>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</si>
  <si>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</si>
  <si>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</si>
  <si>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</si>
  <si>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</si>
  <si>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</si>
  <si>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</si>
  <si>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</si>
  <si>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</si>
  <si>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</si>
  <si>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</si>
  <si>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</si>
  <si>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</si>
  <si>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</si>
  <si>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</si>
  <si>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</si>
  <si>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</si>
  <si>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</si>
  <si>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</si>
  <si>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</si>
  <si>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</si>
  <si>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</si>
  <si>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</si>
  <si>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</si>
  <si>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</si>
  <si>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</si>
  <si>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</si>
  <si>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</si>
  <si>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</si>
  <si>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</si>
  <si>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</si>
  <si>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</si>
  <si>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</si>
  <si>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</si>
  <si>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</si>
  <si>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</si>
  <si>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</si>
  <si>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</si>
  <si>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</si>
  <si>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</si>
  <si>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</si>
  <si>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</si>
  <si>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</si>
  <si>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</si>
  <si>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</si>
  <si>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</si>
  <si>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</si>
  <si>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</si>
  <si>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</si>
  <si>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</si>
  <si>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</si>
  <si>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</si>
  <si>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</si>
  <si>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</si>
  <si>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</si>
  <si>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</si>
  <si>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</si>
  <si>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</si>
  <si>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</si>
  <si>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</si>
  <si>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</si>
  <si>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</si>
  <si>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</si>
  <si>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</si>
  <si>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</si>
  <si>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</si>
  <si>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</si>
  <si>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</si>
  <si>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</si>
  <si>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</si>
  <si>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</si>
  <si>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</si>
  <si>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</si>
  <si>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</si>
  <si>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</si>
  <si>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</si>
  <si>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</si>
  <si>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</si>
  <si>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</si>
  <si>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</si>
  <si>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</si>
  <si>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</si>
  <si>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</si>
  <si>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</si>
  <si>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</si>
  <si>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</si>
  <si>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</si>
  <si>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</si>
  <si>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</si>
  <si>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</si>
  <si>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</si>
  <si>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</si>
  <si>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</si>
  <si>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</si>
  <si>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</si>
  <si>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</si>
  <si>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</si>
  <si>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</si>
  <si>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</si>
  <si>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</si>
  <si>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</si>
  <si>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</si>
  <si>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</si>
  <si>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</si>
  <si>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</si>
  <si>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</si>
  <si>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</si>
  <si>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</si>
  <si>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</si>
  <si>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</si>
  <si>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</si>
  <si>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</si>
  <si>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</si>
  <si>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</si>
  <si>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</si>
  <si>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</si>
  <si>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</si>
  <si>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</si>
  <si>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</si>
  <si>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</si>
  <si>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</si>
  <si>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</si>
  <si>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</si>
  <si>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</si>
  <si>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</si>
  <si>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</si>
  <si>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</si>
  <si>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</si>
  <si>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</si>
  <si>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</si>
  <si>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</si>
  <si>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</si>
  <si>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</si>
  <si>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</si>
  <si>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</si>
  <si>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</si>
  <si>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</si>
  <si>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</si>
  <si>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</si>
  <si>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</si>
  <si>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</si>
  <si>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</si>
  <si>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</si>
  <si>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</si>
  <si>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</si>
  <si>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</si>
  <si>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</si>
  <si>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</si>
  <si>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</si>
  <si>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</si>
  <si>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</si>
  <si>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</si>
  <si>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</si>
  <si>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</si>
  <si>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</si>
  <si>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</si>
  <si>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</si>
  <si>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</si>
  <si>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</si>
  <si>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</si>
  <si>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</si>
  <si>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</si>
  <si>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</si>
  <si>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</si>
  <si>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</si>
  <si>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</si>
  <si>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</si>
  <si>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</si>
  <si>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</si>
  <si>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</si>
  <si>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</si>
  <si>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</si>
  <si>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</si>
  <si>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</si>
  <si>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</si>
  <si>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</si>
  <si>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</si>
  <si>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</si>
  <si>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</si>
  <si>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</si>
  <si>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</si>
  <si>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</si>
  <si>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</si>
  <si>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</si>
  <si>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</si>
  <si>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</si>
  <si>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</si>
  <si>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</si>
  <si>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</si>
  <si>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</si>
  <si>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</si>
  <si>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</si>
  <si>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</si>
  <si>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</si>
  <si>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</si>
  <si>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</si>
  <si>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</si>
  <si>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</si>
  <si>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</si>
  <si>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</si>
  <si>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</si>
  <si>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</si>
  <si>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</si>
  <si>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</si>
  <si>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</si>
  <si>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</si>
  <si>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</si>
  <si>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</si>
  <si>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</si>
  <si>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</si>
  <si>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</si>
  <si>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</si>
  <si>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</si>
  <si>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</si>
  <si>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</si>
  <si>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</si>
  <si>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</si>
  <si>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</si>
  <si>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</si>
  <si>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</si>
  <si>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</si>
  <si>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</si>
  <si>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</si>
  <si>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</si>
  <si>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</si>
  <si>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</si>
  <si>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</si>
  <si>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</si>
  <si>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</si>
  <si>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</si>
  <si>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</si>
  <si>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</si>
  <si>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</si>
  <si>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</si>
  <si>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</si>
  <si>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</si>
  <si>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</si>
  <si>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</si>
  <si>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</si>
  <si>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</si>
  <si>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</si>
  <si>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</si>
  <si>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</si>
  <si>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</si>
  <si>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</si>
  <si>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</si>
  <si>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</si>
  <si>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</si>
  <si>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</si>
  <si>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</si>
  <si>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</si>
  <si>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</si>
  <si>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</si>
  <si>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</si>
  <si>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</si>
  <si>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</si>
  <si>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</si>
  <si>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</si>
  <si>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</si>
  <si>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</si>
  <si>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</si>
  <si>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</si>
  <si>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</si>
  <si>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</si>
  <si>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</si>
  <si>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</si>
  <si>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</si>
  <si>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</si>
  <si>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</si>
  <si>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</si>
  <si>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</si>
  <si>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</si>
  <si>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</si>
  <si>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</si>
  <si>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</si>
  <si>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</si>
  <si>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</si>
  <si>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</si>
  <si>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</si>
  <si>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</si>
  <si>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</si>
  <si>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</si>
  <si>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</si>
  <si>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</si>
  <si>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</si>
  <si>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</si>
  <si>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</si>
  <si>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</si>
  <si>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</si>
  <si>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</si>
  <si>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</si>
  <si>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</si>
  <si>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</si>
  <si>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</si>
  <si>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</si>
  <si>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</si>
  <si>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</si>
  <si>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</si>
  <si>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</si>
  <si>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</si>
  <si>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</si>
  <si>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</si>
  <si>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</si>
  <si>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</si>
  <si>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</si>
  <si>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</si>
  <si>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</si>
  <si>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</si>
  <si>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</si>
  <si>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</si>
  <si>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</si>
  <si>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</si>
  <si>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</si>
  <si>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</si>
  <si>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</si>
  <si>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</si>
  <si>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</si>
  <si>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</si>
  <si>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</si>
  <si>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</si>
  <si>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</si>
  <si>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</si>
  <si>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</si>
  <si>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</si>
  <si>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</si>
  <si>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</si>
  <si>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</si>
  <si>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</si>
  <si>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</si>
  <si>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</si>
  <si>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</si>
  <si>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</si>
  <si>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</si>
  <si>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</si>
  <si>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</si>
  <si>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</si>
  <si>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</si>
  <si>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</si>
  <si>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</si>
  <si>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</si>
  <si>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</si>
  <si>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</si>
  <si>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</si>
  <si>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</si>
  <si>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</si>
  <si>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</si>
  <si>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</si>
  <si>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</si>
  <si>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</si>
  <si>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</si>
  <si>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</si>
  <si>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</si>
  <si>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</si>
  <si>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</si>
  <si>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</si>
  <si>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</si>
  <si>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</si>
  <si>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</si>
  <si>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</si>
  <si>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</si>
  <si>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</si>
  <si>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</si>
  <si>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</si>
  <si>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</si>
  <si>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</si>
  <si>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</si>
  <si>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</si>
  <si>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</si>
  <si>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</si>
  <si>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</si>
  <si>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</si>
  <si>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</si>
  <si>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</si>
  <si>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</si>
  <si>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</si>
  <si>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</si>
  <si>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</si>
  <si>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</si>
  <si>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</si>
  <si>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</si>
  <si>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</si>
  <si>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</si>
  <si>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</si>
  <si>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</si>
  <si>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</si>
  <si>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</si>
  <si>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</si>
  <si>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</si>
  <si>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</si>
  <si>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</si>
  <si>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</si>
  <si>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</si>
  <si>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</si>
  <si>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</si>
  <si>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</si>
  <si>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</si>
  <si>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</si>
  <si>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</si>
  <si>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</si>
  <si>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</si>
  <si>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</si>
  <si>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</si>
  <si>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</si>
  <si>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</si>
  <si>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</si>
  <si>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</si>
  <si>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</si>
  <si>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</si>
  <si>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</si>
  <si>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</si>
  <si>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</si>
  <si>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</si>
  <si>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</si>
  <si>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</si>
  <si>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</si>
  <si>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</si>
  <si>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</si>
  <si>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</si>
  <si>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</si>
  <si>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</si>
  <si>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</si>
  <si>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</si>
  <si>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</si>
  <si>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</si>
  <si>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</si>
  <si>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</si>
  <si>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</si>
  <si>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</si>
  <si>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</si>
  <si>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</si>
  <si>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</si>
  <si>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</si>
  <si>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</si>
  <si>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</si>
  <si>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</si>
  <si>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</si>
  <si>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</si>
  <si>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</si>
  <si>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</si>
  <si>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</si>
  <si>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</si>
  <si>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</si>
  <si>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</si>
  <si>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</si>
  <si>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</si>
  <si>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</si>
  <si>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</si>
  <si>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</si>
  <si>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</si>
  <si>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</si>
  <si>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</si>
  <si>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</si>
  <si>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</si>
  <si>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</si>
  <si>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</si>
  <si>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</si>
  <si>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</si>
  <si>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</si>
  <si>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</si>
  <si>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</si>
  <si>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</si>
  <si>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</si>
  <si>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</si>
  <si>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</si>
  <si>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</si>
  <si>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</si>
  <si>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</si>
  <si>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</si>
  <si>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</si>
  <si>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</si>
  <si>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</si>
  <si>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</si>
  <si>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</si>
  <si>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</si>
  <si>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</si>
  <si>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</si>
  <si>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</si>
  <si>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</si>
  <si>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</si>
  <si>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</si>
  <si>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</si>
  <si>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</si>
  <si>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</si>
  <si>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</si>
  <si>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</si>
  <si>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</si>
  <si>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</si>
  <si>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</si>
  <si>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</si>
  <si>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</si>
  <si>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</si>
  <si>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</si>
  <si>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</si>
  <si>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</si>
  <si>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</si>
  <si>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</si>
  <si>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</si>
  <si>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</si>
  <si>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</si>
  <si>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</si>
  <si>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</si>
  <si>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</si>
  <si>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</si>
  <si>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</si>
  <si>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</si>
  <si>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</si>
  <si>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</si>
  <si>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</si>
  <si>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</si>
  <si>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</si>
  <si>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</si>
  <si>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</si>
  <si>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</si>
  <si>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</si>
  <si>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</si>
  <si>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</si>
  <si>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</si>
  <si>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</si>
  <si>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</si>
  <si>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</si>
  <si>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</si>
  <si>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</si>
  <si>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</si>
  <si>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</si>
  <si>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</si>
  <si>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</si>
  <si>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</si>
  <si>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</si>
  <si>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</si>
  <si>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</si>
  <si>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</si>
  <si>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</si>
  <si>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</si>
  <si>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</si>
  <si>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</si>
  <si>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</si>
  <si>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</si>
  <si>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</si>
  <si>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</si>
  <si>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</si>
  <si>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</si>
  <si>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</si>
  <si>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</si>
  <si>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</si>
  <si>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</si>
  <si>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</si>
  <si>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</si>
  <si>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</si>
  <si>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</si>
  <si>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</si>
  <si>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</si>
  <si>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</si>
  <si>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</si>
  <si>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</si>
  <si>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</si>
  <si>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</si>
  <si>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</si>
  <si>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</si>
  <si>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</si>
  <si>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</si>
  <si>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</si>
  <si>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</si>
  <si>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</si>
  <si>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</si>
  <si>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</si>
  <si>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</si>
  <si>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</si>
  <si>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</si>
  <si>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</si>
  <si>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</si>
  <si>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</si>
  <si>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</si>
  <si>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</si>
  <si>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</si>
  <si>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</si>
  <si>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</si>
  <si>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</si>
  <si>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</si>
  <si>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</si>
  <si>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</si>
  <si>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</si>
  <si>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</si>
  <si>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</si>
  <si>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</si>
  <si>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</si>
  <si>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</si>
  <si>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</si>
  <si>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</si>
  <si>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</si>
  <si>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</si>
  <si>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</si>
  <si>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</si>
  <si>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</si>
  <si>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</si>
  <si>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</si>
  <si>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</si>
  <si>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</si>
  <si>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</si>
  <si>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</si>
  <si>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</si>
  <si>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</si>
  <si>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</si>
  <si>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</si>
  <si>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</si>
  <si>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</si>
  <si>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</si>
  <si>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</si>
  <si>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</si>
  <si>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</si>
  <si>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</si>
  <si>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</si>
  <si>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</si>
  <si>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</si>
  <si>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</si>
  <si>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</si>
  <si>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</si>
  <si>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</si>
  <si>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</si>
  <si>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</si>
  <si>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</si>
  <si>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</si>
  <si>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</si>
  <si>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</si>
  <si>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</si>
  <si>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</si>
  <si>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</si>
  <si>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</si>
  <si>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</si>
  <si>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</si>
  <si>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</si>
  <si>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</si>
  <si>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</si>
  <si>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</si>
  <si>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</si>
  <si>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</si>
  <si>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</si>
  <si>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</si>
  <si>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</si>
  <si>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</si>
  <si>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</si>
  <si>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</si>
  <si>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</si>
  <si>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</si>
  <si>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</si>
  <si>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</si>
  <si>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</si>
  <si>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</si>
  <si>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</si>
  <si>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</si>
  <si>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</si>
  <si>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</si>
  <si>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</si>
  <si>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</si>
  <si>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</si>
  <si>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</si>
  <si>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</si>
  <si>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</si>
  <si>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</si>
  <si>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</si>
  <si>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</si>
  <si>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</si>
  <si>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</si>
  <si>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</si>
  <si>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</si>
  <si>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</si>
  <si>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</si>
  <si>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</si>
  <si>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</si>
  <si>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</si>
  <si>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</si>
  <si>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</si>
  <si>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</si>
  <si>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</si>
  <si>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</si>
  <si>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</si>
  <si>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</si>
  <si>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</si>
  <si>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</si>
  <si>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</si>
  <si>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</si>
  <si>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</si>
  <si>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</si>
  <si>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</si>
  <si>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</si>
  <si>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</si>
  <si>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</si>
  <si>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</si>
  <si>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</si>
  <si>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</si>
  <si>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</si>
  <si>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</si>
  <si>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</si>
  <si>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</si>
  <si>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</si>
  <si>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</si>
  <si>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</si>
  <si>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</si>
  <si>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</si>
  <si>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</si>
  <si>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</si>
  <si>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</si>
  <si>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</si>
  <si>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</si>
  <si>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</si>
  <si>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</si>
  <si>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</si>
  <si>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</si>
  <si>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</si>
  <si>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</si>
  <si>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</si>
  <si>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</si>
  <si>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</si>
  <si>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</si>
  <si>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</si>
  <si>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</si>
  <si>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</si>
  <si>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</si>
  <si>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</si>
  <si>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</si>
  <si>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</si>
  <si>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</si>
  <si>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</si>
  <si>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</si>
  <si>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</si>
  <si>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</si>
  <si>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</si>
  <si>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</si>
  <si>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</si>
  <si>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</si>
  <si>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</si>
  <si>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</si>
  <si>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</si>
  <si>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</si>
  <si>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</si>
  <si>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</si>
  <si>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</si>
  <si>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</si>
  <si>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</si>
  <si>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</si>
  <si>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</si>
  <si>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</si>
  <si>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</si>
  <si>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</si>
  <si>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</si>
  <si>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</si>
  <si>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</si>
  <si>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</si>
  <si>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</si>
  <si>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</si>
  <si>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</si>
  <si>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</si>
  <si>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</si>
  <si>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</si>
  <si>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</si>
  <si>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</si>
  <si>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</si>
  <si>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</si>
  <si>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</si>
  <si>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</si>
  <si>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</si>
  <si>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</si>
  <si>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</si>
  <si>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</si>
  <si>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</si>
  <si>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</si>
  <si>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</si>
  <si>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</si>
  <si>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</si>
  <si>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</si>
  <si>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</si>
  <si>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</si>
  <si>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</si>
  <si>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</si>
  <si>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</si>
  <si>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</si>
  <si>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</si>
  <si>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</si>
  <si>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</si>
  <si>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</si>
  <si>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</si>
  <si>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</si>
  <si>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</si>
  <si>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</si>
  <si>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</si>
  <si>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</si>
  <si>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</si>
  <si>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</si>
  <si>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</si>
  <si>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</si>
  <si>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</si>
  <si>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</si>
  <si>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</si>
  <si>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</si>
  <si>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</si>
  <si>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</si>
  <si>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</si>
  <si>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</si>
  <si>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</si>
  <si>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</si>
  <si>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</si>
  <si>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</si>
  <si>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</si>
  <si>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</si>
  <si>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</si>
  <si>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</si>
  <si>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</si>
  <si>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</si>
  <si>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</si>
  <si>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</si>
  <si>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</si>
  <si>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</si>
  <si>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</si>
  <si>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</si>
  <si>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</si>
  <si>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</si>
  <si>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</si>
  <si>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</si>
  <si>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</si>
  <si>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</si>
  <si>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</si>
  <si>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</si>
  <si>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</si>
  <si>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</si>
  <si>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</si>
  <si>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</si>
  <si>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</si>
  <si>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</si>
  <si>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</si>
  <si>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</si>
  <si>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</si>
  <si>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</si>
  <si>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</si>
  <si>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</si>
  <si>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</si>
  <si>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</si>
  <si>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</si>
  <si>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</si>
  <si>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</si>
  <si>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</si>
  <si>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</si>
  <si>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</si>
  <si>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</si>
  <si>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</si>
  <si>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</si>
  <si>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</si>
  <si>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</si>
  <si>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</si>
  <si>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</si>
  <si>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</si>
  <si>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</si>
  <si>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</si>
  <si>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</si>
  <si>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</si>
  <si>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</si>
  <si>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</si>
  <si>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</si>
  <si>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</si>
  <si>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</si>
  <si>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</si>
  <si>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</si>
  <si>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</si>
  <si>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</si>
  <si>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</si>
  <si>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</si>
  <si>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</si>
  <si>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</si>
  <si>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</si>
  <si>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</si>
  <si>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</si>
  <si>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</si>
  <si>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</si>
  <si>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</si>
  <si>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</si>
  <si>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</si>
  <si>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</si>
  <si>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</si>
  <si>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</si>
  <si>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</si>
  <si>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</si>
  <si>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</si>
  <si>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</si>
  <si>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</si>
  <si>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</si>
  <si>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</si>
  <si>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</si>
  <si>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</si>
  <si>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</si>
  <si>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</si>
  <si>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</si>
  <si>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</si>
  <si>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</si>
  <si>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</si>
  <si>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</si>
  <si>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</si>
  <si>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</si>
  <si>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</si>
  <si>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</si>
  <si>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</si>
  <si>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</si>
  <si>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</si>
  <si>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</si>
  <si>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</si>
  <si>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</si>
  <si>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</si>
  <si>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</si>
  <si>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</si>
  <si>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</si>
  <si>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</si>
  <si>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</si>
  <si>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</si>
  <si>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</si>
  <si>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</si>
  <si>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</si>
  <si>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</si>
  <si>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</si>
  <si>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</si>
  <si>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</si>
  <si>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</si>
  <si>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</si>
  <si>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</si>
  <si>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</si>
  <si>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</si>
  <si>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</si>
  <si>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</si>
  <si>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</si>
  <si>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</si>
  <si>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</si>
  <si>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</si>
  <si>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</si>
  <si>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</si>
  <si>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</si>
  <si>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</si>
  <si>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</si>
  <si>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</si>
  <si>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</si>
  <si>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</si>
  <si>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</si>
  <si>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</si>
  <si>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</si>
  <si>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</si>
  <si>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</si>
  <si>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</si>
  <si>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</si>
  <si>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</si>
  <si>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</si>
  <si>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</si>
  <si>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</si>
  <si>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</si>
  <si>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</si>
  <si>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</si>
  <si>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</si>
  <si>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</si>
  <si>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</si>
  <si>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</si>
  <si>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</si>
  <si>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</si>
  <si>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</si>
  <si>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</si>
  <si>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</si>
  <si>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</si>
  <si>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</si>
  <si>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</si>
  <si>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</si>
  <si>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</si>
  <si>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</si>
  <si>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</si>
  <si>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</si>
  <si>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</si>
  <si>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</si>
  <si>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</si>
  <si>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</si>
  <si>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</si>
  <si>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</si>
  <si>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</si>
  <si>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</si>
  <si>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</si>
  <si>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</si>
  <si>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</si>
  <si>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</si>
  <si>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</si>
  <si>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</si>
  <si>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</si>
  <si>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</si>
  <si>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</si>
  <si>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</si>
  <si>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</si>
  <si>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</si>
  <si>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</si>
  <si>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</si>
  <si>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</si>
  <si>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</si>
  <si>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</si>
  <si>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</si>
  <si>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</si>
  <si>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</si>
  <si>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</si>
  <si>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</si>
  <si>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</si>
  <si>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</si>
  <si>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</si>
  <si>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</si>
  <si>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</si>
  <si>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</si>
  <si>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</si>
  <si>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</si>
  <si>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</si>
  <si>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</si>
  <si>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</si>
  <si>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</si>
  <si>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</si>
  <si>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</si>
  <si>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</si>
  <si>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</si>
  <si>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</si>
  <si>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</si>
  <si>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</si>
  <si>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</si>
  <si>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</si>
  <si>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</si>
  <si>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</si>
  <si>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</si>
  <si>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</si>
  <si>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</si>
  <si>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</si>
  <si>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</si>
  <si>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</si>
  <si>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</si>
  <si>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</si>
  <si>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</si>
  <si>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</si>
  <si>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</si>
  <si>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</si>
  <si>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</si>
  <si>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</si>
  <si>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</si>
  <si>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</si>
  <si>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</si>
  <si>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</si>
  <si>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</si>
  <si>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</si>
  <si>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</si>
  <si>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</si>
  <si>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</si>
  <si>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</si>
  <si>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</si>
  <si>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</si>
  <si>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</si>
  <si>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</si>
  <si>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</si>
  <si>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</si>
  <si>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</si>
  <si>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</si>
  <si>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</si>
  <si>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</si>
  <si>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</si>
  <si>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</si>
  <si>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</si>
  <si>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</si>
  <si>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</si>
  <si>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</si>
  <si>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</si>
  <si>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</si>
  <si>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</si>
  <si>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</si>
  <si>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</si>
  <si>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</si>
  <si>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</si>
  <si>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</si>
  <si>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</si>
  <si>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</si>
  <si>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</si>
  <si>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</si>
  <si>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</si>
  <si>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</si>
  <si>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</si>
  <si>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</si>
  <si>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</si>
  <si>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</si>
  <si>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</si>
  <si>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</si>
  <si>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</si>
  <si>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</si>
  <si>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</si>
  <si>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</si>
  <si>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</si>
  <si>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</si>
  <si>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</si>
  <si>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</si>
  <si>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</si>
  <si>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</si>
  <si>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</si>
  <si>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</si>
  <si>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</si>
  <si>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</si>
  <si>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</si>
  <si>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</si>
  <si>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</si>
  <si>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</si>
  <si>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</si>
  <si>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</si>
  <si>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</si>
  <si>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</si>
  <si>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</si>
  <si>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</si>
  <si>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</si>
  <si>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</si>
  <si>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</si>
  <si>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</si>
  <si>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</si>
  <si>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</si>
  <si>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</si>
  <si>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</si>
  <si>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</si>
  <si>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</si>
  <si>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</si>
  <si>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</si>
  <si>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</si>
  <si>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</si>
  <si>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</si>
  <si>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</si>
  <si>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</si>
  <si>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</si>
  <si>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</si>
  <si>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</si>
  <si>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</si>
  <si>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</si>
  <si>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</si>
  <si>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</si>
  <si>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</si>
  <si>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</si>
  <si>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</si>
  <si>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</si>
  <si>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</si>
  <si>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</si>
  <si>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</si>
  <si>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</si>
  <si>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</si>
  <si>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</si>
  <si>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</si>
  <si>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</si>
  <si>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</si>
  <si>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</si>
  <si>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</si>
  <si>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</si>
  <si>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</si>
  <si>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</si>
  <si>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</si>
  <si>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</si>
  <si>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</si>
  <si>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</si>
  <si>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</si>
  <si>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</si>
  <si>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</si>
  <si>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</si>
  <si>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</si>
  <si>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</si>
  <si>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</si>
  <si>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</si>
  <si>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</si>
  <si>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</si>
  <si>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</si>
  <si>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</si>
  <si>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</si>
  <si>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</si>
  <si>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</si>
  <si>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</si>
  <si>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</si>
  <si>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</si>
  <si>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</si>
  <si>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</si>
  <si>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</si>
  <si>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</si>
  <si>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</si>
  <si>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</si>
  <si>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</si>
  <si>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</si>
  <si>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</si>
  <si>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</si>
  <si>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</si>
  <si>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</si>
  <si>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</si>
  <si>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</si>
  <si>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</si>
  <si>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</si>
  <si>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</si>
  <si>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</si>
  <si>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</si>
  <si>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</si>
  <si>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</si>
  <si>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</si>
  <si>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</si>
  <si>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</si>
  <si>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</si>
  <si>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</si>
  <si>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</si>
  <si>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</si>
  <si>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</si>
  <si>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</si>
  <si>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</si>
  <si>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</si>
  <si>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</si>
  <si>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</si>
  <si>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</si>
  <si>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</si>
  <si>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</si>
  <si>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</si>
  <si>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</si>
  <si>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</si>
  <si>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</si>
  <si>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</si>
  <si>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</si>
  <si>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</si>
  <si>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</si>
  <si>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</si>
  <si>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</si>
  <si>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</si>
  <si>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</si>
  <si>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</si>
  <si>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</si>
  <si>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</si>
  <si>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</si>
  <si>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</si>
  <si>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</si>
  <si>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</si>
  <si>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</si>
  <si>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</si>
  <si>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</si>
  <si>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</si>
  <si>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</si>
  <si>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</si>
  <si>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</si>
  <si>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</si>
  <si>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</si>
  <si>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</si>
  <si>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</si>
  <si>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</si>
  <si>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</si>
  <si>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</si>
  <si>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</si>
  <si>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</si>
  <si>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</si>
  <si>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</si>
  <si>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</si>
  <si>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</si>
  <si>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</si>
  <si>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</si>
  <si>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</si>
  <si>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</si>
  <si>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</si>
  <si>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</si>
  <si>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</si>
  <si>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</si>
  <si>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</si>
  <si>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</si>
  <si>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</si>
  <si>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</si>
  <si>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</si>
  <si>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</si>
  <si>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</si>
  <si>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</si>
  <si>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</si>
  <si>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</si>
  <si>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</si>
  <si>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</si>
  <si>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</si>
  <si>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</si>
  <si>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</si>
  <si>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</si>
  <si>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</si>
  <si>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</si>
  <si>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</si>
  <si>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</si>
  <si>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</si>
  <si>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</si>
  <si>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</si>
  <si>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</si>
  <si>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</si>
  <si>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</si>
  <si>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</si>
  <si>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</si>
  <si>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</si>
  <si>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</si>
  <si>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</si>
  <si>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</si>
  <si>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</si>
  <si>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</si>
  <si>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</si>
  <si>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</si>
  <si>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</si>
  <si>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</si>
  <si>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</si>
  <si>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</si>
  <si>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</si>
  <si>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</si>
  <si>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</si>
  <si>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</si>
  <si>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</si>
  <si>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</si>
  <si>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</si>
  <si>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</si>
  <si>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</si>
  <si>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</si>
  <si>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</si>
  <si>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</si>
  <si>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</si>
  <si>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</si>
  <si>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</si>
  <si>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</si>
  <si>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</si>
  <si>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</si>
  <si>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</si>
  <si>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</si>
  <si>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</si>
  <si>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</si>
  <si>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</si>
  <si>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</si>
  <si>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</si>
  <si>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</si>
  <si>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</si>
  <si>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</si>
  <si>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</si>
  <si>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</si>
  <si>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</si>
  <si>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</si>
  <si>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</si>
  <si>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</si>
  <si>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</si>
  <si>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</si>
  <si>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</si>
  <si>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</si>
  <si>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</si>
  <si>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</si>
  <si>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</si>
  <si>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</si>
  <si>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</si>
  <si>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</si>
  <si>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</si>
  <si>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</si>
  <si>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</si>
  <si>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</si>
  <si>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</si>
  <si>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</si>
  <si>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</si>
  <si>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</si>
  <si>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</si>
  <si>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</si>
  <si>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</si>
  <si>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</si>
  <si>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</si>
  <si>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</si>
  <si>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</si>
  <si>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</si>
  <si>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</si>
  <si>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</si>
  <si>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</si>
  <si>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</si>
  <si>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</si>
  <si>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</si>
  <si>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</si>
  <si>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</si>
  <si>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</si>
  <si>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</si>
  <si>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</si>
  <si>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</si>
  <si>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</si>
  <si>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</si>
  <si>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</si>
  <si>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</si>
  <si>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</si>
  <si>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</si>
  <si>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</si>
  <si>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</si>
  <si>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</si>
  <si>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</si>
  <si>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</si>
  <si>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</si>
  <si>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</si>
  <si>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</si>
  <si>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</si>
  <si>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</si>
  <si>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</si>
  <si>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</si>
  <si>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</si>
  <si>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</si>
  <si>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</si>
  <si>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</si>
  <si>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</si>
  <si>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</si>
  <si>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</si>
  <si>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</si>
  <si>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</si>
  <si>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</si>
  <si>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</si>
  <si>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</si>
  <si>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</si>
  <si>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</si>
  <si>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</si>
  <si>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</si>
  <si>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</si>
  <si>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</si>
  <si>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</si>
  <si>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</si>
  <si>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</si>
  <si>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</si>
  <si>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</si>
  <si>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</si>
  <si>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</si>
  <si>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</si>
  <si>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</si>
  <si>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</si>
  <si>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</si>
  <si>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</si>
  <si>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</si>
  <si>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</si>
  <si>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</si>
  <si>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</si>
  <si>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</si>
  <si>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</si>
  <si>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</si>
  <si>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</si>
  <si>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</si>
  <si>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</si>
  <si>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</si>
  <si>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</si>
  <si>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</si>
  <si>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</si>
  <si>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</si>
  <si>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</si>
  <si>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</si>
  <si>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</si>
  <si>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</si>
  <si>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</si>
  <si>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</si>
  <si>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</si>
  <si>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</si>
  <si>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</si>
  <si>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</si>
  <si>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</si>
  <si>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</si>
  <si>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</si>
  <si>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</si>
  <si>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</si>
  <si>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</si>
  <si>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</si>
  <si>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</si>
  <si>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</si>
  <si>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</si>
  <si>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</si>
  <si>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</si>
  <si>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</si>
  <si>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</si>
  <si>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</si>
  <si>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</si>
  <si>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</si>
  <si>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</si>
  <si>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</si>
  <si>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</si>
  <si>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</si>
  <si>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</si>
  <si>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</si>
  <si>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</si>
  <si>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</si>
  <si>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</si>
  <si>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</si>
  <si>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</si>
  <si>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</si>
  <si>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</si>
  <si>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</si>
  <si>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</si>
  <si>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</si>
  <si>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</si>
  <si>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</si>
  <si>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</si>
  <si>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</si>
  <si>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</si>
  <si>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</si>
  <si>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</si>
  <si>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</si>
  <si>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</si>
  <si>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</si>
  <si>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</si>
  <si>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</si>
  <si>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</si>
  <si>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</si>
  <si>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</si>
  <si>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</si>
  <si>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</si>
  <si>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</si>
  <si>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</si>
  <si>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</si>
  <si>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</si>
  <si>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</si>
  <si>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</si>
  <si>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</si>
  <si>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</si>
  <si>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</si>
  <si>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</si>
  <si>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</si>
  <si>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</si>
  <si>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</si>
  <si>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</si>
  <si>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</si>
  <si>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</si>
  <si>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</si>
  <si>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</si>
  <si>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</si>
  <si>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</si>
  <si>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</si>
  <si>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</si>
  <si>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</si>
  <si>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</si>
  <si>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</si>
  <si>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</si>
  <si>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</si>
  <si>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</si>
  <si>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</si>
  <si>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</si>
  <si>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</si>
  <si>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</si>
  <si>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</si>
  <si>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</si>
  <si>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</si>
  <si>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</si>
  <si>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</si>
  <si>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</si>
  <si>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</si>
  <si>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</si>
  <si>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</si>
  <si>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</si>
  <si>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</si>
  <si>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</si>
  <si>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</si>
  <si>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</si>
  <si>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</si>
  <si>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</si>
  <si>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</si>
  <si>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</si>
  <si>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</si>
  <si>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</si>
  <si>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</si>
  <si>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</si>
  <si>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</si>
  <si>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</si>
  <si>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</si>
  <si>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</si>
  <si>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</si>
  <si>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</si>
  <si>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</si>
  <si>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</si>
  <si>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</si>
  <si>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</si>
  <si>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</si>
  <si>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</si>
  <si>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</si>
  <si>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</si>
  <si>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</si>
  <si>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</si>
  <si>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</si>
  <si>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</si>
  <si>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</si>
  <si>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</si>
  <si>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</si>
  <si>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</si>
  <si>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</si>
  <si>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</si>
  <si>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</si>
  <si>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</si>
  <si>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</si>
  <si>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</si>
  <si>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</si>
  <si>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</si>
  <si>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</si>
  <si>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</si>
  <si>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</si>
  <si>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</si>
  <si>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</si>
  <si>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</si>
  <si>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</si>
  <si>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</si>
  <si>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</si>
  <si>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</si>
  <si>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</si>
  <si>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</si>
  <si>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</si>
  <si>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</si>
  <si>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</si>
  <si>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</si>
  <si>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</si>
  <si>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</si>
  <si>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</si>
  <si>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</si>
  <si>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</si>
  <si>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</si>
  <si>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</si>
  <si>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</si>
  <si>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</si>
  <si>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</si>
  <si>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</si>
  <si>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</si>
  <si>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</si>
  <si>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</si>
  <si>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</si>
  <si>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</si>
  <si>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</si>
  <si>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</si>
  <si>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</si>
  <si>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</si>
  <si>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</si>
  <si>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</si>
  <si>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</si>
  <si>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</si>
  <si>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</si>
  <si>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</si>
  <si>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</si>
  <si>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</si>
  <si>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</si>
  <si>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</si>
  <si>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</si>
  <si>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</si>
  <si>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</si>
  <si>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</si>
  <si>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</si>
  <si>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</si>
  <si>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</si>
  <si>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</si>
  <si>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</si>
  <si>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</si>
  <si>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</si>
  <si>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</si>
  <si>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</si>
  <si>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</si>
  <si>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</si>
  <si>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</si>
  <si>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</si>
  <si>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</si>
  <si>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</si>
  <si>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</si>
  <si>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</si>
  <si>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</si>
  <si>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</si>
  <si>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</si>
  <si>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</si>
  <si>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</si>
  <si>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</si>
  <si>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</si>
  <si>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</si>
  <si>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</si>
  <si>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</si>
  <si>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</si>
  <si>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</si>
  <si>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</si>
  <si>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</si>
  <si>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</si>
  <si>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</si>
  <si>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</si>
  <si>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</si>
  <si>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</si>
  <si>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</si>
  <si>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</si>
  <si>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</si>
  <si>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</si>
  <si>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</si>
  <si>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</si>
  <si>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</si>
  <si>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</si>
  <si>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</si>
  <si>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</si>
  <si>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</si>
  <si>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</si>
  <si>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</si>
  <si>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</si>
  <si>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</si>
  <si>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</si>
  <si>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</si>
  <si>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</si>
  <si>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</si>
  <si>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</si>
  <si>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</si>
  <si>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</si>
  <si>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</si>
  <si>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</si>
  <si>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</si>
  <si>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</si>
  <si>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</si>
  <si>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</si>
  <si>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</si>
  <si>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</si>
  <si>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</si>
  <si>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</si>
  <si>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</si>
  <si>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</si>
  <si>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</si>
  <si>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</si>
  <si>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</si>
  <si>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</si>
  <si>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</si>
  <si>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</si>
  <si>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</si>
  <si>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</si>
  <si>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</si>
  <si>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</si>
  <si>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</si>
  <si>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</si>
  <si>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</si>
  <si>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</si>
  <si>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</si>
  <si>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</si>
  <si>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</si>
  <si>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</si>
  <si>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</si>
  <si>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</si>
  <si>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</si>
  <si>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</si>
  <si>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</si>
  <si>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</si>
  <si>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</si>
  <si>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</si>
  <si>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</si>
  <si>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</si>
  <si>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</si>
  <si>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</si>
  <si>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</si>
  <si>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</si>
  <si>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</si>
  <si>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</si>
  <si>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</si>
  <si>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</si>
  <si>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</si>
  <si>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</si>
  <si>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</si>
  <si>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</si>
  <si>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</si>
  <si>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</si>
  <si>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</si>
  <si>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</si>
  <si>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</si>
  <si>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</si>
  <si>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</si>
  <si>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</si>
  <si>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</si>
  <si>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</si>
  <si>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</si>
  <si>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</si>
  <si>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</si>
  <si>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</si>
  <si>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</si>
  <si>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</si>
  <si>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</si>
  <si>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</si>
  <si>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</si>
  <si>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</si>
  <si>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</si>
  <si>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</si>
  <si>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</si>
  <si>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</si>
  <si>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</si>
  <si>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</si>
  <si>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</si>
  <si>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</si>
  <si>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</si>
  <si>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</si>
  <si>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</si>
  <si>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</si>
  <si>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</si>
  <si>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</si>
  <si>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</si>
  <si>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</si>
  <si>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</si>
  <si>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</si>
  <si>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</si>
  <si>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</si>
  <si>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</si>
  <si>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</si>
  <si>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</si>
  <si>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</si>
  <si>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</si>
  <si>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</si>
  <si>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</si>
  <si>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</si>
  <si>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</si>
  <si>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</si>
  <si>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</si>
  <si>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</si>
  <si>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</si>
  <si>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</si>
  <si>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</si>
  <si>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</si>
  <si>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</si>
  <si>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</si>
  <si>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</si>
  <si>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</si>
  <si>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</si>
  <si>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</si>
  <si>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</si>
  <si>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</si>
  <si>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</si>
  <si>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</si>
  <si>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</si>
  <si>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</si>
  <si>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</si>
  <si>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</si>
  <si>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</si>
  <si>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</si>
  <si>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</si>
  <si>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</si>
  <si>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</si>
  <si>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</si>
  <si>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</si>
  <si>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</si>
  <si>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</si>
  <si>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</si>
  <si>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</si>
  <si>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</si>
  <si>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</si>
  <si>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</si>
  <si>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</si>
  <si>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</si>
  <si>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</si>
  <si>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</si>
  <si>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</si>
  <si>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</si>
  <si>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</si>
  <si>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</si>
  <si>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</si>
  <si>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</si>
  <si>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</si>
  <si>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</si>
  <si>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</si>
  <si>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</si>
  <si>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</si>
  <si>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</si>
  <si>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</si>
  <si>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</si>
  <si>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</si>
  <si>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</si>
  <si>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</si>
  <si>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</si>
  <si>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</si>
  <si>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</si>
  <si>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</si>
  <si>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</si>
  <si>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</si>
  <si>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</si>
  <si>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</si>
  <si>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</si>
  <si>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</si>
  <si>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</si>
  <si>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</si>
  <si>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</si>
  <si>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</si>
  <si>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</si>
  <si>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</si>
  <si>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</si>
  <si>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</si>
  <si>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</si>
  <si>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</si>
  <si>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</si>
  <si>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</si>
  <si>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</si>
  <si>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</si>
  <si>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</si>
  <si>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</si>
  <si>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</si>
  <si>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</si>
  <si>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</si>
  <si>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</si>
  <si>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</si>
  <si>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</si>
  <si>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</si>
  <si>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</si>
  <si>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</si>
  <si>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</si>
  <si>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</si>
  <si>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</si>
  <si>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</si>
  <si>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</si>
  <si>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</si>
  <si>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</si>
  <si>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</si>
  <si>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</si>
  <si>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</si>
  <si>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</si>
  <si>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</si>
  <si>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</si>
  <si>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</si>
  <si>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</si>
  <si>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</si>
  <si>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</si>
  <si>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</si>
  <si>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</si>
  <si>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</si>
  <si>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</si>
  <si>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</si>
  <si>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</si>
  <si>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</si>
  <si>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</si>
  <si>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</si>
  <si>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</si>
  <si>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</si>
  <si>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</si>
  <si>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</si>
  <si>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</si>
  <si>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</si>
  <si>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</si>
  <si>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</si>
  <si>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</si>
  <si>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</si>
  <si>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</si>
  <si>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</si>
  <si>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</si>
  <si>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</si>
  <si>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</si>
  <si>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</si>
  <si>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</si>
  <si>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</si>
  <si>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</si>
  <si>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</si>
  <si>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</si>
  <si>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</si>
  <si>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</si>
  <si>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</si>
  <si>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</si>
  <si>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</si>
  <si>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</si>
  <si>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</si>
  <si>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</si>
  <si>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</si>
  <si>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</si>
  <si>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</si>
  <si>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</si>
  <si>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</si>
  <si>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</si>
  <si>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</si>
  <si>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</si>
  <si>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</si>
  <si>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</si>
  <si>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</si>
  <si>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</si>
  <si>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</si>
  <si>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</si>
  <si>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</si>
  <si>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</si>
  <si>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</si>
  <si>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</si>
  <si>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</si>
  <si>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</si>
  <si>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</si>
  <si>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</si>
  <si>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</si>
  <si>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</si>
  <si>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</si>
  <si>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</si>
  <si>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</si>
  <si>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</si>
  <si>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</si>
  <si>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</si>
  <si>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</si>
  <si>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</si>
  <si>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</si>
  <si>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</si>
  <si>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</si>
  <si>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</si>
  <si>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</si>
  <si>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</si>
  <si>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</si>
  <si>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</si>
  <si>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</si>
  <si>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</si>
  <si>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</si>
  <si>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</si>
  <si>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</si>
  <si>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</si>
  <si>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</si>
  <si>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</si>
  <si>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</si>
  <si>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</si>
  <si>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</si>
  <si>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</si>
  <si>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</si>
  <si>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</si>
  <si>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</si>
  <si>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</si>
  <si>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</si>
  <si>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</si>
  <si>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</si>
  <si>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</si>
  <si>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</si>
  <si>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</si>
  <si>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</si>
  <si>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</si>
  <si>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</si>
  <si>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</si>
  <si>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</si>
  <si>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</si>
  <si>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</si>
  <si>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</si>
  <si>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</si>
  <si>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</si>
  <si>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</si>
  <si>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</si>
  <si>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</si>
  <si>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</si>
  <si>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</si>
  <si>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</si>
  <si>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</si>
  <si>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</si>
  <si>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</si>
  <si>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</si>
  <si>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</si>
  <si>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</si>
  <si>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</si>
  <si>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</si>
  <si>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</si>
  <si>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</si>
  <si>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</si>
  <si>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</si>
  <si>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</si>
  <si>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</si>
  <si>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</si>
  <si>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</si>
  <si>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</si>
  <si>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</si>
  <si>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</si>
  <si>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</si>
  <si>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</si>
  <si>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</si>
  <si>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</si>
  <si>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</si>
  <si>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</si>
  <si>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</si>
  <si>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</si>
  <si>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</si>
  <si>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</si>
  <si>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</si>
  <si>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</si>
  <si>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</si>
  <si>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</si>
  <si>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</si>
  <si>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</si>
  <si>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</si>
  <si>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</si>
  <si>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</si>
  <si>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</si>
  <si>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</si>
  <si>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</si>
  <si>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</si>
  <si>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</si>
  <si>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</si>
  <si>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</si>
  <si>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</si>
  <si>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</si>
  <si>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</si>
  <si>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</si>
  <si>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</si>
  <si>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</si>
  <si>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</si>
  <si>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</si>
  <si>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</si>
  <si>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</si>
  <si>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</si>
  <si>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</si>
  <si>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</si>
  <si>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</si>
  <si>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</si>
  <si>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</si>
  <si>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</si>
  <si>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</si>
  <si>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</si>
  <si>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</si>
  <si>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</si>
  <si>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</si>
  <si>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</si>
  <si>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</si>
  <si>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</si>
  <si>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</si>
  <si>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</si>
  <si>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</si>
  <si>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</si>
  <si>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</si>
  <si>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</si>
  <si>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</si>
  <si>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</si>
  <si>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</si>
  <si>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</si>
  <si>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</si>
  <si>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</si>
  <si>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</si>
  <si>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</si>
  <si>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</si>
  <si>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</si>
  <si>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</si>
  <si>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</si>
  <si>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</si>
  <si>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</si>
  <si>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</si>
  <si>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</si>
  <si>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</si>
  <si>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</si>
  <si>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</si>
  <si>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</si>
  <si>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</si>
  <si>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</si>
  <si>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</si>
  <si>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</si>
  <si>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</si>
  <si>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</si>
  <si>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</si>
  <si>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</si>
  <si>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</si>
  <si>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</si>
  <si>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</si>
  <si>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</si>
  <si>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</si>
  <si>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</si>
  <si>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</si>
  <si>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</si>
  <si>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</si>
  <si>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</si>
  <si>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</si>
  <si>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</si>
  <si>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</si>
  <si>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</si>
  <si>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</si>
  <si>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</si>
  <si>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</si>
  <si>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</si>
  <si>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</si>
  <si>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</si>
  <si>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</si>
  <si>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</si>
  <si>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</si>
  <si>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</si>
  <si>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</si>
  <si>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</si>
  <si>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</si>
  <si>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</si>
  <si>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</si>
  <si>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</si>
  <si>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</si>
  <si>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</si>
  <si>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</si>
  <si>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</si>
  <si>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</si>
  <si>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</si>
  <si>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</si>
  <si>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</si>
  <si>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</si>
  <si>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</si>
  <si>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</si>
  <si>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</si>
  <si>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</si>
  <si>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</si>
  <si>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</si>
  <si>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</si>
  <si>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</si>
  <si>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</si>
  <si>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</si>
  <si>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</si>
  <si>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</si>
  <si>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</si>
  <si>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</si>
  <si>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</si>
  <si>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</si>
  <si>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</si>
  <si>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</si>
  <si>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</si>
  <si>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</si>
  <si>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</si>
  <si>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</si>
  <si>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</si>
  <si>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</si>
  <si>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</si>
  <si>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</si>
  <si>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</si>
  <si>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</si>
  <si>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</si>
  <si>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</si>
  <si>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</si>
  <si>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</si>
  <si>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</si>
  <si>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</si>
  <si>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</si>
  <si>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</si>
  <si>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</si>
  <si>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</si>
  <si>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</si>
  <si>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</si>
  <si>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</si>
  <si>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</si>
  <si>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</si>
  <si>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</si>
  <si>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</si>
  <si>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</si>
  <si>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</si>
  <si>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</si>
  <si>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</si>
  <si>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</si>
  <si>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</si>
  <si>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</si>
  <si>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</si>
  <si>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</si>
  <si>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</si>
  <si>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</si>
  <si>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</si>
  <si>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</si>
  <si>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</si>
  <si>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</si>
  <si>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</si>
  <si>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</si>
  <si>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</si>
  <si>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</si>
  <si>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</si>
  <si>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</si>
  <si>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</si>
  <si>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</si>
  <si>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</si>
  <si>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</si>
  <si>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</si>
  <si>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</si>
  <si>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</si>
  <si>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</si>
  <si>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</si>
  <si>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</si>
  <si>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</si>
  <si>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</si>
  <si>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</si>
  <si>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</si>
  <si>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</si>
  <si>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</si>
  <si>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</si>
  <si>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</si>
  <si>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</si>
  <si>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</si>
  <si>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</si>
  <si>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</si>
  <si>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</si>
  <si>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</si>
  <si>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</si>
  <si>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</si>
  <si>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</si>
  <si>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</si>
  <si>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</si>
  <si>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</si>
  <si>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</si>
  <si>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</si>
  <si>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</si>
  <si>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</si>
  <si>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</si>
  <si>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</si>
  <si>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</si>
  <si>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</si>
  <si>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</si>
  <si>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</si>
  <si>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</si>
  <si>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</si>
  <si>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</si>
  <si>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</si>
  <si>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</si>
  <si>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</si>
  <si>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</si>
  <si>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</si>
  <si>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</si>
  <si>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</si>
  <si>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</si>
  <si>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</si>
  <si>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</si>
  <si>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</si>
  <si>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</si>
  <si>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</si>
  <si>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</si>
  <si>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</si>
  <si>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</si>
  <si>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</si>
  <si>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</si>
  <si>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</si>
  <si>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</si>
  <si>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</si>
  <si>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</si>
  <si>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</si>
  <si>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</si>
  <si>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</si>
  <si>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</si>
  <si>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</si>
  <si>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</si>
  <si>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</si>
  <si>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</si>
  <si>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</si>
  <si>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</si>
  <si>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</si>
  <si>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</si>
  <si>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</si>
  <si>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</si>
  <si>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</si>
  <si>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</si>
  <si>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</si>
  <si>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</si>
  <si>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</si>
  <si>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</si>
  <si>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</si>
  <si>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</si>
  <si>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</si>
  <si>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</si>
  <si>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</si>
  <si>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</si>
  <si>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</si>
  <si>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</si>
  <si>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</si>
  <si>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</si>
  <si>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</si>
  <si>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</si>
  <si>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</si>
  <si>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</si>
  <si>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</si>
  <si>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</si>
  <si>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</si>
  <si>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</si>
  <si>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</si>
  <si>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</si>
  <si>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</si>
  <si>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</si>
  <si>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</si>
  <si>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</si>
  <si>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</si>
  <si>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</si>
  <si>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</si>
  <si>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</si>
  <si>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</si>
  <si>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</si>
  <si>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</si>
  <si>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</si>
  <si>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</si>
  <si>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</si>
  <si>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</si>
  <si>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</si>
  <si>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</si>
  <si>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</si>
  <si>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</si>
  <si>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</si>
  <si>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</si>
  <si>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</si>
  <si>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</si>
  <si>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</si>
  <si>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</si>
  <si>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</si>
  <si>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</si>
  <si>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</si>
  <si>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</si>
  <si>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</si>
  <si>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</si>
  <si>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</si>
  <si>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</si>
  <si>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</si>
  <si>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</si>
  <si>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</si>
  <si>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</si>
  <si>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</si>
  <si>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</si>
  <si>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</si>
  <si>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</si>
  <si>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</si>
  <si>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</si>
  <si>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</si>
  <si>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</si>
  <si>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</si>
  <si>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</si>
  <si>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</si>
  <si>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</si>
  <si>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</si>
  <si>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</si>
  <si>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</si>
  <si>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</si>
  <si>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</si>
  <si>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</si>
  <si>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</si>
  <si>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</si>
  <si>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</si>
  <si>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</si>
  <si>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</si>
  <si>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</si>
  <si>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</si>
  <si>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</si>
  <si>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</si>
  <si>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</si>
  <si>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</si>
  <si>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</si>
  <si>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</si>
  <si>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</si>
  <si>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</si>
  <si>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</si>
  <si>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</si>
  <si>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</si>
  <si>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</si>
  <si>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</si>
  <si>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</si>
  <si>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</si>
  <si>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</si>
  <si>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</si>
  <si>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</si>
  <si>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</si>
  <si>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</si>
  <si>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</si>
  <si>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</si>
  <si>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</si>
  <si>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</si>
  <si>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</si>
  <si>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</si>
  <si>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</si>
  <si>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</si>
  <si>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</si>
  <si>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</si>
  <si>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</si>
  <si>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</si>
  <si>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</si>
  <si>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</si>
  <si>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</si>
  <si>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</si>
  <si>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</si>
  <si>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</si>
  <si>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</si>
  <si>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</si>
  <si>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</si>
  <si>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</si>
  <si>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</si>
  <si>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</si>
  <si>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</si>
  <si>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</si>
  <si>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</si>
  <si>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</si>
  <si>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</si>
  <si>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</si>
  <si>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</si>
  <si>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</si>
  <si>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</si>
  <si>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</si>
  <si>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</si>
  <si>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</si>
  <si>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</si>
  <si>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</si>
  <si>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</si>
  <si>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</si>
  <si>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</si>
  <si>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</si>
  <si>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</si>
  <si>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</si>
  <si>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</si>
  <si>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</si>
  <si>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</si>
  <si>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</si>
  <si>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</si>
  <si>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</si>
  <si>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</si>
  <si>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</si>
  <si>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</si>
  <si>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</si>
  <si>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</si>
  <si>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</si>
  <si>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</si>
  <si>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</si>
  <si>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</si>
  <si>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</si>
  <si>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</si>
  <si>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</si>
  <si>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</si>
  <si>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</si>
  <si>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</si>
  <si>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</si>
  <si>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</si>
  <si>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</si>
  <si>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</si>
  <si>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</si>
  <si>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</si>
  <si>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</si>
  <si>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</si>
  <si>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</si>
  <si>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</si>
  <si>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</si>
  <si>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</si>
  <si>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</si>
  <si>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</si>
  <si>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</si>
  <si>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</si>
  <si>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</si>
  <si>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</si>
  <si>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</si>
  <si>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</si>
  <si>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</si>
  <si>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</si>
  <si>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</si>
  <si>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</si>
  <si>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</si>
  <si>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</si>
  <si>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</si>
  <si>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</si>
  <si>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</si>
  <si>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</si>
  <si>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</si>
  <si>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</si>
  <si>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</si>
  <si>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</si>
  <si>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</si>
  <si>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</si>
  <si>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</si>
  <si>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</si>
  <si>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</si>
  <si>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</si>
  <si>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</si>
  <si>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</si>
  <si>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</si>
  <si>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</si>
  <si>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</si>
  <si>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</si>
  <si>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</si>
  <si>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</si>
  <si>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</si>
  <si>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</si>
  <si>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</si>
  <si>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</si>
  <si>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</si>
  <si>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</si>
  <si>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</si>
  <si>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</si>
  <si>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</si>
  <si>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</si>
  <si>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</si>
  <si>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</si>
  <si>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</si>
  <si>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</si>
  <si>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</si>
  <si>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</si>
  <si>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</si>
  <si>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</si>
  <si>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</si>
  <si>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</si>
  <si>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</si>
  <si>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</si>
  <si>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</si>
  <si>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</si>
  <si>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</si>
  <si>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</si>
  <si>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</si>
  <si>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</si>
  <si>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</si>
  <si>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</si>
  <si>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</si>
  <si>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</si>
  <si>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</si>
  <si>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</si>
  <si>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</si>
  <si>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</si>
  <si>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</si>
  <si>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</si>
  <si>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</si>
  <si>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</si>
  <si>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</si>
  <si>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</si>
  <si>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</si>
  <si>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</si>
  <si>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</si>
  <si>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</si>
  <si>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</si>
  <si>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</si>
  <si>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</si>
  <si>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</si>
  <si>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</si>
  <si>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</si>
  <si>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</si>
  <si>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</si>
  <si>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</si>
  <si>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</si>
  <si>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</si>
  <si>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</si>
  <si>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</si>
  <si>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</si>
  <si>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</si>
  <si>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</si>
  <si>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</si>
  <si>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</si>
  <si>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</si>
  <si>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</si>
  <si>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</si>
  <si>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</si>
  <si>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</si>
  <si>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</si>
  <si>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</si>
  <si>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</si>
  <si>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</si>
  <si>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</si>
  <si>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</si>
  <si>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</si>
  <si>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</si>
  <si>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</si>
  <si>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</si>
  <si>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</si>
  <si>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</si>
  <si>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</si>
  <si>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</si>
  <si>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</si>
  <si>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</si>
  <si>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</si>
  <si>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</si>
  <si>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</si>
  <si>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</si>
  <si>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</si>
  <si>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</si>
  <si>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</si>
  <si>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</si>
  <si>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</si>
  <si>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</si>
  <si>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</si>
  <si>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</si>
  <si>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</si>
  <si>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</si>
  <si>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</si>
  <si>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</si>
  <si>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</si>
  <si>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</si>
  <si>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</si>
  <si>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</si>
  <si>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</si>
  <si>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</si>
  <si>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</si>
  <si>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</si>
  <si>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</si>
  <si>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</si>
  <si>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</si>
  <si>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</si>
  <si>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</si>
  <si>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</si>
  <si>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</si>
  <si>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</si>
  <si>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</si>
  <si>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</si>
  <si>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</si>
  <si>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</si>
  <si>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</si>
  <si>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</si>
  <si>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</si>
  <si>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</si>
  <si>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</si>
  <si>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</si>
  <si>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</si>
  <si>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</si>
  <si>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</si>
  <si>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</si>
  <si>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</si>
  <si>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</si>
  <si>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</si>
  <si>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</si>
  <si>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</si>
  <si>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</si>
  <si>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</si>
  <si>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</si>
  <si>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</si>
  <si>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</si>
  <si>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</si>
  <si>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</si>
  <si>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</si>
  <si>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</si>
  <si>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</si>
  <si>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</si>
  <si>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</si>
  <si>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</si>
  <si>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</si>
  <si>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</si>
  <si>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</si>
  <si>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</si>
  <si>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</si>
  <si>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</si>
  <si>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</si>
  <si>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</si>
  <si>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</si>
  <si>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</si>
  <si>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</si>
  <si>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</si>
  <si>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</si>
  <si>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</si>
  <si>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</si>
  <si>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</si>
  <si>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</si>
  <si>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</si>
  <si>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</si>
  <si>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</si>
  <si>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</si>
  <si>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</si>
  <si>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</si>
  <si>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</si>
  <si>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</si>
  <si>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</si>
  <si>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</si>
  <si>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</si>
  <si>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</si>
  <si>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</si>
  <si>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</si>
  <si>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</si>
  <si>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</si>
  <si>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</si>
  <si>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</si>
  <si>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</si>
  <si>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</si>
  <si>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</si>
  <si>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</si>
  <si>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</si>
  <si>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</si>
  <si>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</si>
  <si>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</si>
  <si>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</si>
  <si>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</si>
  <si>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</si>
  <si>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</si>
  <si>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</si>
  <si>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</si>
  <si>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</si>
  <si>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</si>
  <si>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</si>
  <si>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</si>
  <si>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</si>
  <si>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</si>
  <si>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</si>
  <si>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</si>
  <si>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</si>
  <si>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</si>
  <si>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</si>
  <si>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</si>
  <si>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</si>
  <si>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</si>
  <si>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</si>
  <si>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</si>
  <si>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</si>
  <si>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</si>
  <si>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</si>
  <si>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</si>
  <si>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</si>
  <si>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</si>
  <si>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</si>
  <si>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</si>
  <si>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</si>
  <si>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</si>
  <si>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</si>
  <si>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</si>
  <si>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</si>
  <si>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</si>
  <si>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</si>
  <si>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</si>
  <si>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</si>
  <si>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</si>
  <si>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</si>
  <si>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</si>
  <si>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</si>
  <si>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</si>
  <si>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</si>
  <si>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</si>
  <si>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</si>
  <si>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</si>
  <si>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</si>
  <si>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</si>
  <si>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</si>
  <si>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</si>
  <si>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</si>
  <si>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</si>
  <si>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</si>
  <si>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</si>
  <si>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</si>
  <si>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</si>
  <si>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</si>
  <si>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</si>
  <si>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</si>
  <si>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</si>
  <si>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</si>
  <si>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</si>
  <si>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</si>
  <si>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</si>
  <si>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</si>
  <si>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</si>
  <si>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</si>
  <si>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</si>
  <si>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</si>
  <si>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</si>
  <si>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</si>
  <si>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</si>
  <si>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</si>
  <si>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</si>
  <si>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</si>
  <si>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</si>
  <si>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</si>
  <si>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</si>
  <si>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</si>
  <si>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</si>
  <si>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</si>
  <si>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</si>
  <si>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</si>
  <si>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</si>
  <si>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</si>
  <si>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</si>
  <si>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</si>
  <si>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</si>
  <si>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</si>
  <si>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</si>
  <si>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</si>
  <si>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</si>
  <si>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</si>
  <si>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</si>
  <si>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</si>
  <si>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</si>
  <si>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</si>
  <si>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</si>
  <si>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</si>
  <si>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</si>
  <si>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</si>
  <si>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</si>
  <si>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</si>
  <si>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</si>
  <si>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</si>
  <si>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</si>
  <si>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</si>
  <si>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</si>
  <si>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</si>
  <si>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</si>
  <si>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</si>
  <si>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</si>
  <si>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</si>
  <si>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</si>
  <si>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</si>
  <si>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</si>
  <si>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</si>
  <si>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</si>
  <si>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</si>
  <si>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</si>
  <si>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</si>
  <si>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</si>
  <si>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</si>
  <si>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</si>
  <si>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</si>
  <si>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</si>
  <si>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</si>
  <si>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</si>
  <si>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</si>
  <si>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</si>
  <si>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</si>
  <si>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</si>
  <si>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</si>
  <si>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</si>
  <si>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</si>
  <si>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</si>
  <si>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</si>
  <si>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</si>
  <si>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</si>
  <si>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</si>
  <si>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</si>
  <si>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</si>
  <si>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</si>
  <si>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</si>
  <si>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</si>
  <si>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</si>
  <si>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</si>
  <si>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</si>
  <si>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</si>
  <si>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</si>
  <si>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</si>
  <si>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</si>
  <si>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</si>
  <si>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</si>
  <si>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</si>
  <si>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</si>
  <si>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</si>
  <si>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</si>
  <si>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</si>
  <si>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</si>
  <si>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</si>
  <si>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</si>
  <si>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</si>
  <si>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</si>
  <si>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</si>
  <si>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</si>
  <si>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</si>
  <si>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</si>
  <si>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</si>
  <si>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</si>
  <si>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</si>
  <si>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</si>
  <si>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</si>
  <si>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</si>
  <si>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</si>
  <si>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</si>
  <si>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</si>
  <si>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</si>
  <si>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</si>
  <si>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</si>
  <si>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</si>
  <si>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</si>
  <si>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</si>
  <si>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</si>
  <si>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</si>
  <si>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</si>
  <si>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</si>
  <si>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</si>
  <si>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</si>
  <si>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</si>
  <si>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</si>
  <si>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</si>
  <si>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</si>
  <si>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</si>
  <si>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</si>
  <si>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</si>
  <si>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</si>
  <si>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</si>
  <si>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</si>
  <si>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</si>
  <si>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</si>
  <si>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</si>
  <si>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</si>
  <si>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</si>
  <si>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</si>
  <si>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</si>
  <si>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</si>
  <si>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</si>
  <si>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</si>
  <si>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</si>
  <si>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</si>
  <si>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</si>
  <si>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</si>
  <si>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</si>
  <si>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</si>
  <si>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</si>
  <si>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</si>
  <si>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</si>
  <si>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</si>
  <si>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</si>
  <si>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</si>
  <si>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</si>
  <si>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</si>
  <si>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</si>
  <si>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</si>
  <si>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</si>
  <si>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</si>
  <si>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</si>
  <si>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</si>
  <si>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</si>
  <si>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</si>
  <si>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</si>
  <si>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</si>
  <si>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</si>
  <si>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</si>
  <si>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</si>
  <si>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</si>
  <si>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</si>
  <si>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</si>
  <si>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</si>
  <si>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</si>
  <si>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</si>
  <si>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</si>
  <si>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</si>
  <si>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</si>
  <si>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</si>
  <si>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</si>
  <si>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</si>
  <si>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</si>
  <si>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</si>
  <si>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</si>
  <si>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</si>
  <si>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</si>
  <si>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</si>
  <si>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</si>
  <si>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</si>
  <si>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</si>
  <si>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</si>
  <si>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</si>
  <si>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</si>
  <si>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</si>
  <si>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</si>
  <si>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</si>
  <si>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</si>
  <si>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</si>
  <si>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</si>
  <si>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</si>
  <si>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</si>
  <si>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</si>
  <si>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</si>
  <si>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</si>
  <si>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</si>
  <si>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</si>
  <si>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</si>
  <si>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</si>
  <si>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</si>
  <si>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</si>
  <si>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</si>
  <si>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</si>
  <si>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</si>
  <si>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</si>
  <si>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</si>
  <si>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</si>
  <si>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</si>
  <si>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</si>
  <si>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</si>
  <si>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</si>
  <si>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</si>
  <si>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</si>
  <si>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</si>
  <si>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</si>
  <si>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</si>
  <si>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</si>
  <si>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</si>
  <si>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</si>
  <si>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</si>
  <si>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</si>
  <si>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</si>
  <si>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</si>
  <si>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</si>
  <si>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</si>
  <si>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</si>
  <si>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</si>
  <si>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</si>
  <si>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</si>
  <si>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</si>
  <si>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</si>
  <si>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</si>
  <si>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</si>
  <si>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</si>
  <si>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</si>
  <si>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</si>
  <si>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</si>
  <si>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</si>
  <si>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</si>
  <si>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</si>
  <si>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</si>
  <si>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</si>
  <si>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</si>
  <si>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</si>
  <si>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</si>
  <si>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</si>
  <si>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</si>
  <si>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</si>
  <si>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</si>
  <si>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</si>
  <si>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</si>
  <si>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</si>
  <si>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</si>
  <si>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</si>
  <si>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</si>
  <si>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</si>
  <si>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</si>
  <si>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</si>
  <si>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</si>
  <si>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</si>
  <si>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</si>
  <si>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</si>
  <si>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</si>
  <si>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</si>
  <si>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</si>
  <si>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</si>
  <si>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</si>
  <si>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</si>
  <si>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</si>
  <si>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</si>
  <si>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</si>
  <si>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</si>
  <si>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</si>
  <si>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</si>
  <si>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</si>
  <si>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</si>
  <si>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</si>
  <si>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</si>
  <si>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</si>
  <si>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</si>
  <si>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</si>
  <si>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</si>
  <si>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</si>
  <si>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</si>
  <si>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</si>
  <si>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</si>
  <si>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</si>
  <si>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</si>
  <si>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</si>
  <si>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</si>
  <si>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</si>
  <si>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</si>
  <si>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</si>
  <si>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</si>
  <si>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</si>
  <si>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</si>
  <si>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</si>
  <si>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</si>
  <si>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</si>
  <si>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</si>
  <si>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</si>
  <si>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</si>
  <si>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</si>
  <si>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</si>
  <si>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</si>
  <si>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</si>
  <si>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</si>
  <si>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</si>
  <si>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</si>
  <si>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</si>
  <si>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</si>
  <si>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</si>
  <si>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</si>
  <si>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</si>
  <si>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</si>
  <si>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</si>
  <si>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</si>
  <si>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</si>
  <si>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</si>
  <si>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</si>
  <si>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</si>
  <si>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</si>
  <si>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</si>
  <si>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</si>
  <si>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</si>
  <si>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</si>
  <si>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</si>
  <si>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</si>
  <si>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</si>
  <si>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</si>
  <si>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</si>
  <si>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</si>
  <si>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</si>
  <si>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</si>
  <si>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</si>
  <si>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</si>
  <si>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</si>
  <si>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</si>
  <si>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</si>
  <si>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</si>
  <si>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</si>
  <si>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</si>
  <si>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</si>
  <si>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</si>
  <si>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</si>
  <si>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</si>
  <si>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</si>
  <si>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</si>
  <si>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</si>
  <si>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</si>
  <si>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</si>
  <si>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</si>
  <si>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</si>
  <si>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</si>
  <si>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</si>
  <si>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</si>
  <si>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</si>
  <si>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</si>
  <si>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</si>
  <si>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</si>
  <si>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</si>
  <si>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</si>
  <si>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</si>
  <si>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</si>
  <si>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</si>
  <si>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</si>
  <si>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</si>
  <si>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</si>
  <si>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</si>
  <si>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</si>
  <si>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</si>
  <si>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</si>
  <si>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</si>
  <si>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</si>
  <si>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</si>
  <si>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</si>
  <si>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</si>
  <si>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</si>
  <si>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</si>
  <si>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</si>
  <si>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</si>
  <si>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</si>
  <si>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</si>
  <si>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</si>
  <si>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</si>
  <si>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</si>
  <si>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</si>
  <si>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</si>
  <si>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</si>
  <si>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</si>
  <si>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</si>
  <si>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</si>
  <si>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</si>
  <si>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</si>
  <si>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</si>
  <si>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</si>
  <si>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</si>
  <si>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</si>
  <si>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</si>
  <si>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</si>
  <si>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</si>
  <si>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</si>
  <si>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</si>
  <si>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</si>
  <si>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</si>
  <si>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</si>
  <si>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</si>
  <si>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</si>
  <si>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</si>
  <si>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</si>
  <si>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</si>
  <si>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</si>
  <si>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</si>
  <si>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</si>
  <si>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</si>
  <si>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</si>
  <si>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</si>
  <si>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</si>
  <si>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</si>
  <si>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</si>
  <si>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</si>
  <si>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</si>
  <si>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</si>
  <si>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</si>
  <si>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</si>
  <si>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</si>
  <si>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</si>
  <si>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</si>
  <si>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</si>
  <si>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</si>
  <si>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</si>
  <si>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</si>
  <si>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</si>
  <si>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</si>
  <si>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</si>
  <si>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</si>
  <si>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</si>
  <si>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</si>
  <si>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</si>
  <si>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</si>
  <si>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</si>
  <si>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</si>
  <si>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</si>
  <si>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</si>
  <si>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</si>
  <si>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</si>
  <si>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</si>
  <si>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</si>
  <si>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</si>
  <si>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</si>
  <si>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</si>
  <si>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</si>
  <si>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</si>
  <si>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</si>
  <si>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</si>
  <si>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</si>
  <si>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</si>
  <si>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</si>
  <si>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</si>
  <si>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</si>
  <si>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</si>
  <si>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</si>
  <si>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</si>
  <si>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</si>
  <si>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</si>
  <si>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</si>
  <si>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</si>
  <si>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</si>
  <si>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</si>
  <si>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</si>
  <si>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</si>
  <si>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</si>
  <si>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</si>
  <si>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</si>
  <si>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</si>
  <si>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</si>
  <si>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</si>
  <si>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</si>
  <si>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</si>
  <si>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</si>
  <si>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</si>
  <si>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</si>
  <si>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</si>
  <si>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</si>
  <si>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</si>
  <si>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</si>
  <si>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</si>
  <si>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</si>
  <si>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</si>
  <si>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</si>
  <si>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</si>
  <si>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</si>
  <si>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</si>
  <si>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</si>
  <si>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</si>
  <si>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</si>
  <si>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</si>
  <si>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</si>
  <si>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</si>
  <si>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</si>
  <si>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</si>
  <si>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</si>
  <si>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</si>
  <si>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</si>
  <si>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</si>
  <si>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</si>
  <si>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</si>
  <si>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</si>
  <si>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</si>
  <si>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</si>
  <si>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</si>
  <si>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</si>
  <si>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</si>
  <si>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</si>
  <si>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</si>
  <si>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</si>
  <si>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</si>
  <si>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</si>
  <si>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</si>
  <si>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</si>
  <si>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</si>
  <si>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</si>
  <si>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</si>
  <si>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</si>
  <si>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</si>
  <si>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</si>
  <si>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</si>
  <si>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</si>
  <si>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</si>
  <si>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</si>
  <si>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</si>
  <si>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</si>
  <si>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</si>
  <si>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</si>
  <si>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</si>
  <si>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</si>
  <si>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</si>
  <si>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</si>
  <si>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</si>
  <si>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</si>
  <si>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</si>
  <si>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</si>
  <si>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</si>
  <si>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</si>
  <si>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</si>
  <si>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</si>
  <si>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</si>
  <si>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</si>
  <si>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</si>
  <si>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</si>
  <si>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</si>
  <si>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</si>
  <si>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</si>
  <si>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</si>
  <si>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</si>
  <si>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</si>
  <si>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</si>
  <si>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</si>
  <si>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</si>
  <si>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</si>
  <si>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</si>
  <si>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</si>
  <si>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</si>
  <si>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</si>
  <si>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</si>
  <si>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</si>
  <si>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</si>
  <si>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</si>
  <si>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</si>
  <si>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</si>
  <si>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</si>
  <si>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</si>
  <si>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</si>
  <si>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</si>
  <si>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</si>
  <si>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</si>
  <si>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</si>
  <si>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</si>
  <si>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</si>
  <si>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</si>
  <si>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</si>
  <si>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</si>
  <si>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</si>
  <si>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</si>
  <si>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</si>
  <si>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</si>
  <si>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</si>
  <si>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</si>
  <si>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</si>
  <si>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</si>
  <si>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</si>
  <si>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</si>
  <si>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</si>
  <si>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</si>
  <si>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</si>
  <si>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</si>
  <si>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</si>
  <si>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</si>
  <si>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</si>
  <si>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</si>
  <si>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</si>
  <si>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</si>
  <si>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</si>
  <si>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</si>
  <si>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</si>
  <si>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</si>
  <si>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</si>
  <si>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</si>
  <si>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</si>
  <si>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</si>
  <si>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</si>
  <si>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</si>
  <si>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</si>
  <si>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</si>
  <si>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</si>
  <si>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</si>
  <si>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</si>
  <si>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</si>
  <si>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</si>
  <si>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</si>
  <si>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</si>
  <si>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</si>
  <si>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</si>
  <si>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</si>
  <si>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</si>
  <si>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</si>
  <si>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</si>
  <si>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</si>
  <si>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</si>
  <si>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</si>
  <si>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</si>
  <si>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</si>
  <si>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</si>
  <si>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</si>
  <si>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</si>
  <si>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</si>
  <si>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</si>
  <si>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</si>
  <si>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</si>
  <si>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</si>
  <si>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</si>
  <si>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</si>
  <si>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</si>
  <si>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</si>
  <si>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</si>
  <si>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</si>
  <si>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</si>
  <si>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</si>
  <si>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</si>
  <si>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</si>
  <si>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</si>
  <si>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</si>
  <si>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</si>
  <si>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</si>
  <si>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</si>
  <si>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</si>
  <si>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</si>
  <si>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</si>
  <si>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</si>
  <si>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</si>
  <si>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</si>
  <si>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</si>
  <si>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</si>
  <si>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</si>
  <si>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</si>
  <si>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</si>
  <si>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</si>
  <si>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</si>
  <si>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</si>
  <si>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</si>
  <si>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</si>
  <si>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</si>
  <si>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</si>
  <si>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</si>
  <si>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</si>
  <si>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</si>
  <si>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</si>
  <si>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</si>
  <si>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</si>
  <si>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</si>
  <si>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</si>
  <si>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</si>
  <si>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</si>
  <si>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</si>
  <si>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</si>
  <si>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</si>
  <si>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</si>
  <si>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</si>
  <si>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</si>
  <si>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</si>
  <si>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</si>
  <si>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</si>
  <si>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</si>
  <si>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</si>
  <si>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</si>
  <si>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</si>
  <si>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</si>
  <si>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</si>
  <si>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</si>
  <si>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</si>
  <si>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</si>
  <si>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</si>
  <si>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</si>
  <si>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</si>
  <si>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</si>
  <si>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</si>
  <si>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</si>
  <si>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</si>
  <si>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</si>
  <si>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</si>
  <si>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</si>
  <si>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</si>
  <si>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</si>
  <si>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</si>
  <si>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</si>
  <si>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</si>
  <si>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</si>
  <si>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</si>
  <si>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</si>
  <si>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</si>
  <si>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</si>
  <si>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</si>
  <si>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</si>
  <si>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</si>
  <si>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</si>
  <si>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</si>
  <si>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</si>
  <si>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</si>
  <si>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</si>
  <si>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</si>
  <si>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</si>
  <si>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</si>
  <si>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</si>
  <si>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</si>
  <si>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</si>
  <si>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</si>
  <si>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</si>
  <si>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</si>
  <si>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</si>
  <si>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</si>
  <si>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</si>
  <si>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</si>
  <si>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</si>
  <si>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</si>
  <si>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</si>
  <si>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</si>
  <si>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</si>
  <si>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</si>
  <si>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</si>
  <si>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</si>
  <si>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</si>
  <si>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</si>
  <si>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</si>
  <si>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</si>
  <si>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</si>
  <si>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</si>
  <si>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</si>
  <si>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</si>
  <si>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</si>
  <si>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</si>
  <si>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</si>
  <si>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</si>
  <si>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</si>
  <si>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</si>
  <si>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</si>
  <si>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</si>
  <si>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</si>
  <si>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</si>
  <si>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</si>
  <si>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</si>
  <si>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</si>
  <si>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</si>
  <si>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</si>
  <si>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</si>
  <si>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</si>
  <si>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</si>
  <si>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</si>
  <si>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</si>
  <si>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</si>
  <si>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</si>
  <si>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</si>
  <si>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</si>
  <si>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</si>
  <si>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</si>
  <si>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</si>
  <si>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</si>
  <si>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</si>
  <si>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</si>
  <si>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</si>
  <si>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</si>
  <si>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</si>
  <si>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</si>
  <si>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</si>
  <si>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</si>
  <si>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</si>
  <si>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</si>
  <si>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</si>
  <si>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</si>
  <si>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</si>
  <si>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</si>
  <si>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</si>
  <si>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</si>
  <si>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</si>
  <si>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</si>
  <si>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</si>
  <si>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</si>
  <si>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</si>
  <si>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</si>
  <si>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</si>
  <si>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</si>
  <si>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</si>
  <si>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</si>
  <si>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</si>
  <si>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</si>
  <si>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</si>
  <si>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</si>
  <si>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</si>
  <si>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</si>
  <si>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</si>
  <si>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</si>
  <si>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</si>
  <si>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</si>
  <si>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</si>
  <si>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</si>
  <si>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</si>
  <si>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</si>
  <si>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</si>
  <si>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</si>
  <si>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</si>
  <si>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</si>
  <si>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</si>
  <si>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</si>
  <si>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</si>
  <si>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</si>
  <si>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</si>
  <si>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</si>
  <si>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</si>
  <si>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</si>
  <si>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</si>
  <si>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</si>
  <si>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</si>
  <si>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</si>
  <si>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</si>
  <si>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</si>
  <si>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</si>
  <si>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</si>
  <si>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</si>
  <si>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</si>
  <si>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</si>
  <si>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</si>
  <si>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</si>
  <si>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</si>
  <si>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</si>
  <si>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</si>
  <si>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</si>
  <si>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</si>
  <si>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</si>
  <si>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</si>
  <si>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</si>
  <si>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</si>
  <si>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</si>
  <si>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</si>
  <si>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</si>
  <si>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</si>
  <si>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</si>
  <si>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</si>
  <si>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</si>
  <si>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</si>
  <si>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</si>
  <si>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</si>
  <si>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</si>
  <si>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</si>
  <si>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</si>
  <si>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</si>
  <si>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</si>
  <si>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</si>
  <si>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</si>
  <si>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</si>
  <si>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</si>
  <si>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</si>
  <si>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</si>
  <si>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</si>
  <si>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</si>
  <si>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</si>
  <si>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</si>
  <si>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</si>
  <si>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</si>
  <si>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</si>
  <si>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</si>
  <si>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</si>
  <si>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</si>
  <si>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</si>
  <si>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</si>
  <si>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</si>
  <si>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</si>
  <si>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</si>
  <si>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</si>
  <si>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</si>
  <si>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</si>
  <si>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</si>
  <si>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</si>
  <si>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</si>
  <si>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</si>
  <si>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</si>
  <si>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</si>
  <si>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</si>
  <si>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</si>
  <si>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</si>
  <si>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</si>
  <si>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</si>
  <si>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</si>
  <si>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</si>
  <si>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</si>
  <si>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</si>
  <si>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</si>
  <si>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</si>
  <si>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</si>
  <si>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</si>
  <si>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</si>
  <si>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</si>
  <si>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</si>
  <si>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</si>
  <si>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</si>
  <si>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</si>
  <si>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</si>
  <si>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</si>
  <si>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</si>
  <si>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</si>
  <si>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</si>
  <si>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</si>
  <si>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</si>
  <si>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</si>
  <si>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</si>
  <si>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</si>
  <si>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</si>
  <si>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</si>
  <si>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</si>
  <si>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</si>
  <si>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</si>
  <si>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</si>
  <si>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</si>
  <si>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</si>
  <si>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</si>
  <si>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</si>
  <si>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</si>
  <si>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</si>
  <si>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</si>
  <si>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</si>
  <si>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</si>
  <si>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</si>
  <si>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</si>
  <si>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</si>
  <si>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</si>
  <si>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</si>
  <si>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</si>
  <si>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</si>
  <si>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</si>
  <si>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</si>
  <si>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</si>
  <si>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</si>
  <si>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</si>
  <si>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</si>
  <si>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</si>
  <si>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</si>
  <si>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</si>
  <si>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</si>
  <si>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</si>
  <si>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</si>
  <si>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</si>
  <si>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</si>
  <si>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</si>
  <si>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</si>
  <si>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</si>
  <si>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</si>
  <si>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</si>
  <si>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</si>
  <si>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</si>
  <si>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</si>
  <si>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</si>
  <si>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</si>
  <si>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</si>
  <si>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</si>
  <si>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</si>
  <si>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</si>
  <si>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</si>
  <si>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</si>
  <si>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</si>
  <si>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</si>
  <si>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</si>
  <si>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</si>
  <si>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</si>
  <si>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</si>
  <si>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</si>
  <si>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</si>
  <si>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</si>
  <si>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</si>
  <si>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</si>
  <si>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</si>
  <si>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</si>
  <si>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</si>
  <si>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</si>
  <si>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</si>
  <si>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</si>
  <si>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</si>
  <si>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</si>
  <si>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</si>
  <si>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</si>
  <si>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</si>
  <si>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</si>
  <si>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</si>
  <si>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</si>
  <si>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</si>
  <si>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</si>
  <si>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</si>
  <si>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</si>
  <si>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</si>
  <si>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</si>
  <si>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</si>
  <si>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</si>
  <si>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</si>
  <si>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</si>
  <si>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</si>
  <si>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</si>
  <si>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</si>
  <si>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</si>
  <si>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</si>
  <si>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</si>
  <si>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</si>
  <si>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</si>
  <si>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</si>
  <si>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</si>
  <si>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</si>
  <si>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</si>
  <si>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</si>
  <si>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</si>
  <si>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</si>
  <si>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</si>
  <si>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</si>
  <si>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</si>
  <si>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</si>
  <si>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</si>
  <si>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</si>
  <si>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</si>
  <si>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</si>
  <si>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</si>
  <si>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</si>
  <si>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</si>
  <si>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</si>
  <si>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</si>
  <si>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</si>
  <si>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</si>
  <si>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</si>
  <si>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</si>
  <si>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</si>
  <si>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</si>
  <si>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</si>
  <si>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</si>
  <si>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</si>
  <si>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</si>
  <si>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</si>
  <si>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</si>
  <si>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</si>
  <si>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</si>
  <si>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</si>
  <si>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</si>
  <si>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</si>
  <si>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</si>
  <si>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</si>
  <si>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</si>
  <si>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</si>
  <si>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</si>
  <si>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</si>
  <si>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</si>
  <si>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</si>
  <si>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</si>
  <si>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</si>
  <si>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</si>
  <si>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</si>
  <si>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</si>
  <si>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</si>
  <si>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</si>
  <si>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</si>
  <si>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</si>
  <si>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</si>
  <si>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</si>
  <si>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</si>
  <si>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</si>
  <si>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</si>
  <si>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</si>
  <si>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</si>
  <si>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</si>
  <si>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</si>
  <si>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</si>
  <si>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</si>
  <si>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</si>
  <si>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</si>
  <si>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</si>
  <si>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</si>
  <si>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</si>
  <si>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</si>
  <si>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</si>
  <si>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</si>
  <si>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</si>
  <si>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</si>
  <si>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</si>
  <si>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</si>
  <si>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</si>
  <si>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</si>
  <si>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</si>
  <si>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</si>
  <si>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</si>
  <si>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</si>
  <si>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</si>
  <si>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</si>
  <si>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</si>
  <si>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</si>
  <si>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</si>
  <si>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</si>
  <si>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</si>
  <si>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</si>
  <si>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</si>
  <si>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</si>
  <si>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</si>
  <si>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</si>
  <si>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</si>
  <si>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</si>
  <si>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</si>
  <si>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</si>
  <si>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</si>
  <si>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</si>
  <si>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</si>
  <si>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</si>
  <si>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</si>
  <si>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</si>
  <si>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</si>
  <si>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</si>
  <si>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</si>
  <si>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</si>
  <si>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</si>
  <si>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</si>
  <si>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</si>
  <si>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</si>
  <si>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</si>
  <si>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</si>
  <si>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</si>
  <si>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</si>
  <si>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</si>
  <si>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</si>
  <si>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</si>
  <si>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</si>
  <si>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</si>
  <si>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</si>
  <si>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</si>
  <si>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</si>
  <si>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</si>
  <si>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</si>
  <si>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</si>
  <si>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</si>
  <si>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</si>
  <si>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</si>
  <si>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</si>
  <si>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</si>
  <si>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</si>
  <si>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</si>
  <si>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</si>
  <si>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</si>
  <si>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</si>
  <si>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</si>
  <si>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</si>
  <si>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</si>
  <si>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</si>
  <si>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</si>
  <si>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</si>
  <si>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</si>
  <si>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</si>
  <si>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</si>
  <si>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</si>
  <si>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</si>
  <si>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</si>
  <si>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</si>
  <si>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</si>
  <si>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</si>
  <si>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</si>
  <si>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</si>
  <si>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</si>
  <si>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</si>
  <si>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</si>
  <si>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</si>
  <si>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</si>
  <si>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</si>
  <si>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</si>
  <si>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</si>
  <si>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</si>
  <si>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</si>
  <si>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</si>
  <si>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</si>
  <si>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</si>
  <si>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</si>
  <si>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</si>
  <si>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</si>
  <si>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</si>
  <si>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</si>
  <si>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</si>
  <si>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</si>
  <si>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</si>
  <si>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</si>
  <si>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</si>
  <si>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</si>
  <si>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</si>
  <si>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</si>
  <si>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</si>
  <si>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</si>
  <si>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</si>
  <si>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</si>
  <si>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</si>
  <si>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</si>
  <si>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</si>
  <si>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</si>
  <si>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</si>
  <si>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</si>
  <si>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</si>
  <si>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</si>
  <si>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</si>
  <si>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</si>
  <si>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</si>
  <si>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</si>
  <si>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</si>
  <si>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</si>
  <si>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</si>
  <si>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</si>
  <si>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</si>
  <si>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</si>
  <si>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</si>
  <si>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</si>
  <si>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</si>
  <si>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</si>
  <si>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</si>
  <si>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</si>
  <si>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</si>
  <si>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</si>
  <si>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</si>
  <si>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</si>
  <si>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</si>
  <si>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</si>
  <si>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</si>
  <si>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</si>
  <si>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</si>
  <si>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</si>
  <si>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</si>
  <si>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</si>
  <si>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</si>
  <si>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</si>
  <si>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</si>
  <si>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</si>
  <si>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</si>
  <si>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</si>
  <si>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</si>
  <si>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</si>
  <si>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</si>
  <si>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</si>
  <si>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</si>
  <si>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</si>
  <si>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</si>
  <si>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</si>
  <si>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</si>
  <si>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</si>
  <si>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</si>
  <si>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</si>
  <si>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</si>
  <si>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</si>
  <si>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</si>
  <si>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</si>
  <si>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</si>
  <si>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</si>
  <si>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</si>
  <si>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</si>
  <si>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</si>
  <si>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</si>
  <si>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</si>
  <si>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</si>
  <si>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</si>
  <si>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</si>
  <si>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</si>
  <si>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</si>
  <si>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</si>
  <si>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</si>
  <si>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</si>
  <si>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</si>
  <si>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</si>
  <si>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</si>
  <si>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</si>
  <si>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</si>
  <si>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</si>
  <si>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</si>
  <si>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</si>
  <si>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</si>
  <si>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</si>
  <si>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</si>
  <si>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</si>
  <si>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</si>
  <si>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</si>
  <si>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</si>
  <si>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</si>
  <si>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</si>
  <si>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</si>
  <si>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</si>
  <si>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</si>
  <si>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</si>
  <si>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</si>
  <si>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</si>
  <si>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</si>
  <si>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</si>
  <si>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</si>
  <si>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</si>
  <si>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</si>
  <si>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</si>
  <si>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</si>
  <si>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</si>
  <si>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</si>
  <si>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</si>
  <si>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</si>
  <si>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</si>
  <si>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</si>
  <si>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</si>
  <si>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</si>
  <si>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</si>
  <si>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</si>
  <si>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</si>
  <si>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</si>
  <si>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</si>
  <si>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</si>
  <si>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</si>
  <si>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</si>
  <si>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</si>
  <si>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</si>
  <si>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</si>
  <si>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</si>
  <si>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</si>
  <si>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</si>
  <si>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</si>
  <si>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</si>
  <si>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</si>
  <si>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</si>
  <si>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</si>
  <si>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</si>
  <si>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</si>
  <si>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</si>
  <si>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</si>
  <si>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</si>
  <si>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</si>
  <si>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</si>
  <si>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</si>
  <si>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</si>
  <si>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</si>
  <si>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</si>
  <si>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</si>
  <si>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</si>
  <si>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</si>
  <si>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</si>
  <si>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</si>
  <si>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</si>
  <si>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</si>
  <si>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</si>
  <si>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</si>
  <si>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</si>
  <si>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</si>
  <si>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</si>
  <si>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</si>
  <si>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</si>
  <si>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</si>
  <si>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</si>
  <si>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</si>
  <si>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</si>
  <si>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</si>
  <si>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</si>
  <si>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</si>
  <si>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</si>
  <si>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</si>
  <si>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</si>
  <si>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</si>
  <si>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</si>
  <si>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</si>
  <si>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</si>
  <si>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</si>
  <si>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</si>
  <si>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</si>
  <si>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</si>
  <si>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</si>
  <si>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</si>
  <si>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</si>
  <si>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</si>
  <si>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</si>
  <si>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</si>
  <si>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</si>
  <si>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</si>
  <si>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</si>
  <si>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</si>
  <si>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</si>
  <si>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</si>
  <si>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</si>
  <si>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</si>
  <si>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</si>
  <si>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</si>
  <si>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</si>
  <si>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</si>
  <si>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</si>
  <si>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</si>
  <si>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</si>
  <si>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</si>
  <si>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</si>
  <si>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</si>
  <si>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</si>
  <si>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</si>
  <si>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</si>
  <si>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</si>
  <si>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</si>
  <si>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</si>
  <si>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</si>
  <si>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</si>
  <si>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</si>
  <si>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</si>
  <si>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</si>
  <si>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</si>
  <si>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</si>
  <si>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</si>
  <si>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</si>
  <si>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</si>
  <si>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</si>
  <si>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</si>
  <si>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</si>
  <si>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</si>
  <si>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</si>
  <si>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</si>
  <si>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</si>
  <si>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</si>
  <si>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</si>
  <si>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</si>
  <si>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</si>
  <si>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</si>
  <si>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</si>
  <si>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</si>
  <si>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</si>
  <si>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</si>
  <si>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</si>
  <si>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</si>
  <si>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</si>
  <si>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</si>
  <si>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</si>
  <si>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</si>
  <si>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</si>
  <si>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</si>
  <si>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</si>
  <si>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</si>
  <si>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</si>
  <si>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</si>
  <si>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</si>
  <si>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</si>
  <si>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</si>
  <si>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</si>
  <si>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</si>
  <si>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</si>
  <si>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</si>
  <si>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</si>
  <si>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</si>
  <si>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</si>
  <si>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</si>
  <si>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</si>
  <si>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</si>
  <si>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</si>
  <si>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</si>
  <si>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</si>
  <si>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</si>
  <si>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</si>
  <si>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</si>
  <si>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</si>
  <si>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</si>
  <si>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</si>
  <si>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</si>
  <si>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</si>
  <si>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</si>
  <si>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</si>
  <si>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</si>
  <si>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</si>
  <si>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</si>
  <si>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</si>
  <si>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</si>
  <si>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</si>
  <si>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</si>
  <si>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</si>
  <si>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</si>
  <si>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</si>
  <si>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</si>
  <si>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</si>
  <si>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</si>
  <si>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</si>
  <si>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</si>
  <si>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</si>
  <si>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</si>
  <si>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</si>
  <si>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</si>
  <si>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</si>
  <si>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</si>
  <si>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</si>
  <si>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</si>
  <si>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</si>
  <si>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</si>
  <si>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</si>
  <si>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</si>
  <si>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</si>
  <si>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</si>
  <si>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</si>
  <si>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</si>
  <si>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</si>
  <si>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</si>
  <si>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</si>
  <si>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</si>
  <si>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</si>
  <si>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</si>
  <si>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</si>
  <si>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</si>
  <si>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</si>
  <si>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</si>
  <si>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</si>
  <si>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</si>
  <si>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</si>
  <si>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</si>
  <si>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</si>
  <si>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</si>
  <si>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</si>
  <si>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</si>
  <si>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</si>
  <si>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</si>
  <si>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</si>
  <si>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</si>
  <si>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</si>
  <si>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</si>
  <si>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</si>
  <si>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</si>
  <si>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</si>
  <si>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</si>
  <si>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</si>
  <si>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</si>
  <si>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</si>
  <si>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</si>
  <si>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</si>
  <si>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</si>
  <si>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</si>
  <si>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</si>
  <si>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</si>
  <si>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</si>
  <si>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</si>
  <si>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</si>
  <si>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</si>
  <si>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</si>
  <si>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</si>
  <si>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</si>
  <si>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</si>
  <si>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</si>
  <si>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</si>
  <si>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</si>
  <si>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</si>
  <si>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</si>
  <si>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</si>
  <si>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</si>
  <si>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</si>
  <si>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</si>
  <si>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</si>
  <si>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</si>
  <si>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</si>
  <si>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</si>
  <si>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</si>
  <si>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</si>
  <si>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</si>
  <si>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</si>
  <si>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</si>
  <si>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</si>
  <si>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</si>
  <si>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</si>
  <si>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</si>
  <si>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</si>
  <si>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</si>
  <si>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</si>
  <si>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</si>
  <si>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</si>
  <si>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</si>
  <si>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</si>
  <si>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</si>
  <si>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</si>
  <si>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</si>
  <si>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</si>
  <si>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</si>
  <si>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</si>
  <si>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</si>
  <si>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</si>
  <si>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</si>
  <si>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</si>
  <si>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</si>
  <si>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</si>
  <si>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</si>
  <si>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</si>
  <si>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</si>
  <si>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</si>
  <si>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</si>
  <si>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</si>
  <si>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</si>
  <si>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</si>
  <si>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</si>
  <si>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</si>
  <si>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</si>
  <si>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</si>
  <si>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</si>
  <si>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</si>
  <si>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</si>
  <si>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</si>
  <si>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</si>
  <si>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</si>
  <si>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</si>
  <si>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</si>
  <si>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</si>
  <si>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</si>
  <si>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</si>
  <si>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</si>
  <si>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</si>
  <si>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</si>
  <si>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</si>
  <si>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</si>
  <si>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</si>
  <si>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</si>
  <si>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</si>
  <si>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</si>
  <si>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</si>
  <si>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</si>
  <si>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</si>
  <si>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</si>
  <si>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</si>
  <si>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</si>
  <si>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</si>
  <si>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</si>
  <si>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</si>
  <si>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</si>
  <si>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</si>
  <si>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</si>
  <si>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</si>
  <si>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</si>
  <si>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</si>
  <si>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</si>
  <si>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</si>
  <si>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</si>
  <si>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</si>
  <si>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</si>
  <si>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</si>
  <si>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</si>
  <si>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</si>
  <si>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</si>
  <si>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</si>
  <si>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</si>
  <si>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</si>
  <si>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</si>
  <si>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</si>
  <si>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</si>
  <si>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</si>
  <si>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</si>
  <si>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</si>
  <si>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</si>
  <si>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</si>
  <si>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</si>
  <si>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</si>
  <si>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</si>
  <si>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</si>
  <si>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</si>
  <si>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</si>
  <si>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</si>
  <si>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</si>
  <si>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</si>
  <si>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</si>
  <si>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</si>
  <si>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</si>
  <si>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</si>
  <si>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</si>
  <si>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</si>
  <si>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</si>
  <si>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</si>
  <si>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</si>
  <si>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</si>
  <si>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</si>
  <si>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</si>
  <si>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</si>
  <si>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</si>
  <si>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</si>
  <si>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</si>
  <si>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</si>
  <si>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</si>
  <si>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</si>
  <si>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</si>
  <si>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</si>
  <si>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</si>
  <si>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</si>
  <si>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</si>
  <si>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</si>
  <si>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</si>
  <si>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</si>
  <si>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</si>
  <si>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</si>
  <si>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</si>
  <si>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</si>
  <si>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</si>
  <si>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</si>
  <si>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</si>
  <si>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</si>
  <si>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</si>
  <si>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</si>
  <si>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</si>
  <si>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</si>
  <si>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</si>
  <si>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</si>
  <si>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</si>
  <si>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</si>
  <si>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</si>
  <si>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</si>
  <si>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</si>
  <si>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</si>
  <si>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</si>
  <si>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</si>
  <si>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</si>
  <si>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</si>
  <si>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</si>
  <si>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</si>
  <si>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</si>
  <si>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</si>
  <si>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</si>
  <si>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</si>
  <si>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</si>
  <si>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</si>
  <si>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</si>
  <si>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</si>
  <si>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</si>
  <si>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</si>
  <si>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</si>
  <si>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</si>
  <si>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</si>
  <si>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</si>
  <si>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</si>
  <si>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</si>
  <si>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</si>
  <si>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</si>
  <si>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</si>
  <si>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</si>
  <si>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</si>
  <si>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</si>
  <si>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</si>
  <si>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</si>
  <si>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</si>
  <si>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</si>
  <si>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</si>
  <si>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</si>
  <si>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</si>
  <si>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</si>
  <si>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</si>
  <si>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</si>
  <si>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</si>
  <si>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</si>
  <si>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</si>
  <si>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</si>
  <si>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</si>
  <si>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</si>
  <si>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</si>
  <si>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</si>
  <si>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</si>
  <si>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</si>
  <si>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</si>
  <si>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</si>
  <si>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</si>
  <si>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</si>
  <si>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</si>
  <si>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</si>
  <si>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</si>
  <si>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</si>
  <si>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</si>
  <si>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</si>
  <si>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</si>
  <si>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</si>
  <si>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</si>
  <si>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</si>
  <si>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</si>
  <si>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</si>
  <si>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</si>
  <si>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</si>
  <si>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</si>
  <si>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</si>
  <si>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</si>
  <si>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</si>
  <si>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</si>
  <si>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</si>
  <si>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</si>
  <si>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</si>
  <si>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</si>
  <si>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</si>
  <si>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</si>
  <si>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</si>
  <si>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</si>
  <si>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</si>
  <si>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</si>
  <si>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</si>
  <si>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</si>
  <si>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</si>
  <si>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</si>
  <si>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</si>
  <si>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</si>
  <si>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</si>
  <si>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</si>
  <si>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</si>
  <si>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</si>
  <si>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</si>
  <si>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</si>
  <si>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</si>
  <si>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</si>
  <si>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</si>
  <si>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</si>
  <si>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</si>
  <si>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</si>
  <si>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</si>
  <si>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</si>
  <si>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</si>
  <si>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</si>
  <si>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</si>
  <si>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</si>
  <si>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</si>
  <si>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</si>
  <si>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</si>
  <si>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</si>
  <si>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</si>
  <si>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</si>
  <si>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</si>
  <si>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</si>
  <si>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</si>
  <si>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</si>
  <si>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</si>
  <si>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</si>
  <si>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</si>
  <si>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</si>
  <si>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</si>
  <si>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</si>
  <si>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</si>
  <si>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</si>
  <si>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</si>
  <si>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</si>
  <si>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</si>
  <si>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</si>
  <si>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</si>
  <si>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</si>
  <si>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</si>
  <si>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</si>
  <si>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</si>
  <si>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</si>
  <si>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</si>
  <si>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</si>
  <si>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</si>
  <si>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</si>
  <si>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</si>
  <si>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</si>
  <si>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</si>
  <si>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</si>
  <si>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</si>
  <si>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</si>
  <si>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</si>
  <si>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</si>
  <si>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</si>
  <si>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</si>
  <si>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</si>
  <si>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</si>
  <si>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</si>
  <si>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</si>
  <si>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</si>
  <si>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</si>
  <si>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</si>
  <si>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</si>
  <si>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</si>
  <si>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</si>
  <si>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</si>
  <si>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</si>
  <si>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</si>
  <si>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</si>
  <si>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</si>
  <si>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</si>
  <si>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</si>
  <si>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</si>
  <si>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</si>
  <si>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</si>
  <si>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</si>
  <si>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</si>
  <si>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</si>
  <si>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</si>
  <si>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</si>
  <si>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</si>
  <si>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</si>
  <si>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</si>
  <si>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</si>
  <si>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</si>
  <si>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</si>
  <si>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</si>
  <si>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</si>
  <si>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</si>
  <si>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</si>
  <si>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</si>
  <si>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</si>
  <si>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</si>
  <si>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</si>
  <si>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</si>
  <si>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</si>
  <si>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</si>
  <si>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</si>
  <si>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</si>
  <si>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</si>
  <si>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</si>
  <si>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</si>
  <si>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</si>
  <si>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</si>
  <si>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</si>
  <si>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</si>
  <si>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</si>
  <si>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</si>
  <si>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</si>
  <si>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</si>
  <si>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</si>
  <si>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</si>
  <si>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</si>
  <si>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</si>
  <si>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</si>
  <si>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</si>
  <si>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</si>
  <si>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</si>
  <si>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</si>
  <si>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</si>
  <si>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</si>
  <si>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</si>
  <si>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</si>
  <si>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</si>
  <si>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</si>
  <si>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</si>
  <si>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</si>
  <si>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</si>
  <si>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</si>
  <si>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</si>
  <si>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</si>
  <si>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</si>
  <si>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</si>
  <si>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</si>
  <si>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</si>
  <si>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</si>
  <si>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</si>
  <si>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</si>
  <si>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</si>
  <si>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</si>
  <si>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</si>
  <si>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</si>
  <si>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</si>
  <si>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</si>
  <si>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</si>
  <si>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</si>
  <si>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</si>
  <si>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</si>
  <si>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</si>
  <si>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</si>
  <si>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</si>
  <si>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</si>
  <si>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</si>
  <si>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</si>
  <si>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</si>
  <si>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</si>
  <si>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</si>
  <si>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</si>
  <si>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</si>
  <si>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</si>
  <si>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</si>
  <si>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</si>
  <si>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</si>
  <si>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</si>
  <si>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</si>
  <si>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</si>
  <si>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</si>
  <si>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</si>
  <si>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</si>
  <si>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</si>
  <si>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</si>
  <si>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</si>
  <si>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</si>
  <si>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</si>
  <si>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</si>
  <si>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</si>
  <si>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</si>
  <si>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</si>
  <si>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</si>
  <si>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</si>
  <si>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</si>
  <si>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</si>
  <si>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</si>
  <si>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</si>
  <si>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</si>
  <si>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</si>
  <si>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</si>
  <si>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</si>
  <si>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</si>
  <si>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</si>
  <si>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</si>
  <si>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</si>
  <si>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</si>
  <si>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</si>
  <si>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</si>
  <si>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</si>
  <si>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</si>
  <si>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</si>
  <si>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</si>
  <si>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</si>
  <si>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</si>
  <si>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</si>
  <si>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</si>
  <si>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</si>
  <si>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</si>
  <si>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</si>
  <si>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</si>
  <si>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</si>
  <si>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</si>
  <si>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</si>
  <si>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</si>
  <si>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</si>
  <si>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</si>
  <si>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</si>
  <si>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</si>
  <si>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</si>
  <si>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</si>
  <si>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</si>
  <si>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</si>
  <si>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</si>
  <si>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</si>
  <si>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</si>
  <si>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</si>
  <si>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</si>
  <si>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</si>
  <si>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</si>
  <si>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</si>
  <si>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</si>
  <si>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</si>
  <si>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</si>
  <si>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</si>
  <si>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</si>
  <si>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</si>
  <si>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</si>
  <si>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</si>
  <si>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</si>
  <si>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</si>
  <si>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</si>
  <si>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</si>
  <si>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</si>
  <si>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</si>
  <si>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</si>
  <si>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</si>
  <si>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</si>
  <si>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</si>
  <si>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</si>
  <si>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</si>
  <si>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</si>
  <si>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</si>
  <si>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</si>
  <si>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</si>
  <si>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</si>
  <si>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</si>
  <si>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</si>
  <si>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</si>
  <si>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</si>
  <si>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</si>
  <si>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</si>
  <si>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</si>
  <si>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</si>
  <si>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</si>
  <si>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</si>
  <si>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</si>
  <si>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</si>
  <si>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</si>
  <si>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</si>
  <si>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</si>
  <si>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</si>
  <si>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</si>
  <si>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</si>
  <si>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</si>
  <si>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</si>
  <si>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</si>
  <si>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</si>
  <si>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</si>
  <si>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</si>
  <si>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</si>
  <si>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</si>
  <si>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</si>
  <si>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</si>
  <si>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</si>
  <si>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</si>
  <si>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</si>
  <si>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</si>
  <si>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</si>
  <si>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</si>
  <si>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</si>
  <si>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</si>
  <si>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</si>
  <si>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</si>
  <si>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</si>
  <si>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</si>
  <si>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</si>
  <si>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</si>
  <si>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</si>
  <si>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</si>
  <si>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</si>
  <si>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</si>
  <si>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</si>
  <si>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</si>
  <si>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</si>
  <si>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</si>
  <si>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</si>
  <si>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</si>
  <si>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</si>
  <si>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</si>
  <si>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</si>
  <si>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</si>
  <si>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</si>
  <si>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</si>
  <si>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</si>
  <si>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</si>
  <si>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</si>
  <si>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</si>
  <si>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</si>
  <si>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</si>
  <si>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</si>
  <si>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</si>
  <si>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</si>
  <si>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</si>
  <si>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</si>
  <si>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</si>
  <si>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</si>
  <si>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</si>
  <si>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</si>
  <si>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</si>
  <si>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</si>
  <si>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</si>
  <si>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</si>
  <si>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</si>
  <si>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</si>
  <si>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</si>
  <si>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</si>
  <si>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</si>
  <si>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</si>
  <si>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</si>
  <si>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</si>
  <si>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</si>
  <si>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</si>
  <si>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</si>
  <si>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</si>
  <si>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</si>
  <si>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</si>
  <si>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</si>
  <si>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</si>
  <si>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</si>
  <si>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</si>
  <si>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</si>
  <si>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</si>
  <si>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</si>
  <si>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</si>
  <si>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</si>
  <si>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</si>
  <si>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</si>
  <si>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</si>
  <si>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</si>
  <si>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</si>
  <si>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</si>
  <si>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</si>
  <si>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</si>
  <si>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</si>
  <si>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</si>
  <si>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</si>
  <si>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</si>
  <si>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</si>
  <si>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</si>
  <si>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</si>
  <si>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</si>
  <si>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</si>
  <si>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</si>
  <si>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</si>
  <si>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</si>
  <si>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</si>
  <si>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</si>
  <si>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</si>
  <si>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</si>
  <si>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</si>
  <si>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</si>
  <si>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</si>
  <si>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</si>
  <si>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</si>
  <si>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</si>
  <si>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</si>
  <si>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</si>
  <si>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</si>
  <si>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</si>
  <si>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</si>
  <si>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</si>
  <si>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</si>
  <si>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</si>
  <si>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</si>
  <si>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</si>
  <si>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</si>
  <si>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</si>
  <si>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</si>
  <si>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</si>
  <si>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</si>
  <si>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</si>
  <si>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</si>
  <si>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</si>
  <si>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</si>
  <si>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</si>
  <si>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</si>
  <si>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</si>
  <si>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</si>
  <si>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</si>
  <si>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</si>
  <si>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</si>
  <si>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</si>
  <si>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</si>
  <si>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</si>
  <si>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</si>
  <si>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</si>
  <si>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</si>
  <si>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</si>
  <si>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</si>
  <si>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</si>
  <si>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</si>
  <si>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</si>
  <si>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</si>
  <si>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</si>
  <si>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</si>
  <si>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</si>
  <si>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</si>
  <si>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</si>
  <si>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</si>
  <si>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</si>
  <si>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</si>
  <si>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</si>
  <si>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</si>
  <si>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</si>
  <si>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</si>
  <si>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</si>
  <si>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</si>
  <si>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</si>
  <si>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</si>
  <si>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</si>
  <si>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</si>
  <si>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</si>
  <si>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</si>
  <si>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</si>
  <si>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</si>
  <si>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</si>
  <si>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</si>
  <si>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</si>
  <si>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</si>
  <si>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</si>
  <si>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</si>
  <si>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</si>
  <si>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</si>
  <si>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</si>
  <si>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</si>
  <si>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</si>
  <si>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</si>
  <si>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</si>
  <si>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</si>
  <si>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</si>
  <si>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</si>
  <si>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</si>
  <si>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</si>
  <si>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</si>
  <si>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</si>
  <si>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</si>
  <si>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</si>
  <si>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</si>
  <si>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</si>
  <si>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</si>
  <si>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</si>
  <si>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</si>
  <si>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</si>
  <si>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</si>
  <si>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</si>
  <si>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</si>
  <si>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</si>
  <si>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</si>
  <si>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</si>
  <si>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</si>
  <si>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</si>
  <si>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</si>
  <si>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</si>
  <si>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</si>
  <si>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</si>
  <si>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</si>
  <si>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</si>
  <si>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</si>
  <si>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</si>
  <si>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</si>
  <si>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</si>
  <si>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</si>
  <si>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</si>
  <si>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</si>
  <si>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</si>
  <si>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</si>
  <si>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</si>
  <si>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</si>
  <si>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</si>
  <si>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</si>
  <si>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</si>
  <si>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</si>
  <si>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</si>
  <si>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</si>
  <si>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</si>
  <si>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</si>
  <si>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</si>
  <si>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</si>
  <si>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</si>
  <si>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</si>
  <si>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</si>
  <si>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</si>
  <si>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</si>
  <si>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</si>
  <si>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</si>
  <si>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</si>
  <si>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</si>
  <si>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</si>
  <si>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</si>
  <si>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</si>
  <si>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</si>
  <si>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</si>
  <si>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</si>
  <si>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</si>
  <si>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</si>
  <si>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</si>
  <si>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</si>
  <si>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</si>
  <si>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</si>
  <si>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</si>
  <si>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</si>
  <si>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</si>
  <si>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</si>
  <si>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</si>
  <si>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</si>
  <si>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</si>
  <si>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</si>
  <si>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</si>
  <si>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</si>
  <si>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</si>
  <si>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</si>
  <si>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</si>
  <si>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</si>
  <si>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</si>
  <si>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</si>
  <si>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</si>
  <si>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</si>
  <si>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</si>
  <si>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</si>
  <si>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</si>
  <si>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</si>
  <si>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</si>
  <si>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</si>
  <si>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</si>
  <si>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</si>
  <si>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</si>
  <si>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</si>
  <si>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</si>
  <si>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</si>
  <si>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</si>
  <si>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</si>
  <si>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</si>
  <si>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</si>
  <si>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</si>
  <si>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</si>
  <si>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</si>
  <si>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</si>
  <si>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</si>
  <si>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</si>
  <si>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</si>
  <si>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</si>
  <si>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</si>
  <si>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</si>
  <si>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</si>
  <si>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</si>
  <si>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</si>
  <si>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</si>
  <si>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</si>
  <si>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</si>
  <si>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</si>
  <si>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</si>
  <si>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</si>
  <si>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</si>
  <si>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</si>
  <si>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</si>
  <si>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</si>
  <si>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</si>
  <si>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</si>
  <si>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</si>
  <si>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</si>
  <si>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</si>
  <si>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</si>
  <si>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</si>
  <si>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</si>
  <si>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</si>
  <si>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</si>
  <si>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</si>
  <si>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</si>
  <si>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</si>
  <si>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</si>
  <si>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</si>
  <si>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</si>
  <si>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</si>
  <si>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</si>
  <si>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</si>
  <si>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</si>
  <si>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</si>
  <si>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</si>
  <si>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</si>
  <si>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</si>
  <si>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</si>
  <si>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</si>
  <si>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</si>
  <si>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</si>
  <si>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</si>
  <si>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</si>
  <si>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</si>
  <si>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</si>
  <si>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</si>
  <si>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</si>
  <si>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</si>
  <si>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</si>
  <si>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</si>
  <si>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</si>
  <si>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</si>
  <si>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</si>
  <si>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</si>
  <si>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</si>
  <si>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</si>
  <si>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</si>
  <si>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</si>
  <si>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</si>
  <si>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</si>
  <si>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</si>
  <si>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</si>
  <si>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</si>
  <si>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</si>
  <si>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</si>
  <si>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</si>
  <si>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</si>
  <si>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</si>
  <si>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</si>
  <si>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</si>
  <si>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</si>
  <si>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</si>
  <si>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</si>
  <si>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</si>
  <si>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</si>
  <si>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</si>
  <si>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</si>
  <si>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</si>
  <si>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</si>
  <si>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</si>
  <si>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</si>
  <si>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</si>
  <si>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</si>
  <si>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</si>
  <si>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</si>
  <si>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</si>
  <si>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</si>
  <si>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</si>
  <si>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</si>
  <si>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</si>
  <si>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</si>
  <si>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</si>
  <si>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</si>
  <si>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</si>
  <si>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</si>
  <si>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</si>
  <si>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</si>
  <si>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</si>
  <si>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</si>
  <si>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</si>
  <si>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</si>
  <si>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</si>
  <si>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</si>
  <si>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</si>
  <si>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</si>
  <si>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</si>
  <si>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</si>
  <si>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</si>
  <si>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</si>
  <si>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</si>
  <si>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</si>
  <si>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</si>
  <si>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</si>
  <si>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</si>
  <si>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</si>
  <si>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</si>
  <si>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</si>
  <si>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</si>
  <si>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</si>
  <si>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</si>
  <si>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</si>
  <si>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</si>
  <si>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</si>
  <si>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</si>
  <si>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</si>
  <si>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</si>
  <si>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</si>
  <si>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</si>
  <si>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</si>
  <si>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</si>
  <si>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</si>
  <si>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</si>
  <si>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</si>
  <si>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</si>
  <si>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</si>
  <si>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</si>
  <si>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</si>
  <si>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</si>
  <si>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</si>
  <si>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</si>
  <si>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</si>
  <si>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</si>
  <si>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</si>
  <si>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</si>
  <si>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</si>
  <si>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</si>
  <si>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</si>
  <si>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</si>
  <si>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</si>
  <si>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</si>
  <si>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</si>
  <si>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</si>
  <si>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</si>
  <si>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</si>
  <si>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</si>
  <si>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</si>
  <si>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</si>
  <si>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</si>
  <si>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</si>
  <si>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</si>
  <si>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</si>
  <si>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</si>
  <si>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</si>
  <si>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</si>
  <si>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</si>
  <si>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</si>
  <si>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</si>
  <si>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</si>
  <si>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</si>
  <si>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</si>
  <si>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</si>
  <si>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</si>
  <si>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</si>
  <si>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</si>
  <si>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</si>
  <si>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</si>
  <si>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</si>
  <si>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</si>
  <si>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</si>
  <si>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</si>
  <si>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</si>
  <si>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</si>
  <si>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</si>
  <si>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</si>
  <si>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</si>
  <si>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</si>
  <si>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</si>
  <si>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</si>
  <si>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</si>
  <si>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</si>
  <si>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</si>
  <si>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</si>
  <si>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</si>
  <si>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</si>
  <si>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</si>
  <si>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</si>
  <si>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</si>
  <si>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</si>
  <si>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</si>
  <si>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</si>
  <si>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</si>
  <si>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</si>
  <si>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</si>
  <si>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</si>
  <si>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</si>
  <si>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</si>
  <si>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</si>
  <si>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</si>
  <si>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</si>
  <si>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</si>
  <si>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</si>
  <si>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</si>
  <si>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</si>
  <si>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</si>
  <si>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</si>
  <si>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</si>
  <si>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</si>
  <si>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</si>
  <si>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</si>
  <si>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</si>
  <si>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</si>
  <si>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</si>
  <si>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</si>
  <si>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</si>
  <si>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</si>
  <si>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</si>
  <si>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</si>
  <si>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</si>
  <si>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</si>
  <si>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</si>
  <si>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</si>
  <si>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</si>
  <si>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</si>
  <si>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</si>
  <si>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</si>
  <si>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</si>
  <si>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</si>
  <si>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</si>
  <si>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</si>
  <si>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</si>
  <si>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</si>
  <si>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</si>
  <si>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</si>
  <si>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</si>
  <si>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</si>
  <si>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</si>
  <si>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</si>
  <si>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</si>
  <si>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</si>
  <si>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</si>
  <si>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</si>
  <si>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</si>
  <si>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</si>
  <si>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</si>
  <si>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</si>
  <si>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</si>
  <si>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</si>
  <si>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</si>
  <si>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</si>
  <si>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</si>
  <si>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</si>
  <si>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</si>
  <si>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</si>
  <si>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</si>
  <si>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</si>
  <si>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</si>
  <si>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</si>
  <si>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</si>
  <si>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</si>
  <si>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</si>
  <si>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</si>
  <si>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</si>
  <si>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</si>
  <si>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</si>
  <si>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</si>
  <si>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</si>
  <si>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</si>
  <si>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</si>
  <si>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</si>
  <si>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</si>
  <si>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</si>
  <si>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</si>
  <si>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</si>
  <si>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</si>
  <si>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</si>
  <si>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</si>
  <si>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</si>
  <si>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</si>
  <si>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</si>
  <si>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</si>
  <si>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</si>
  <si>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</si>
  <si>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</si>
  <si>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</si>
  <si>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</si>
  <si>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</si>
  <si>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</si>
  <si>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</si>
  <si>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</si>
  <si>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</si>
  <si>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</si>
  <si>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</si>
  <si>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</si>
  <si>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</si>
  <si>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</si>
  <si>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</si>
  <si>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</si>
  <si>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</si>
  <si>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</si>
  <si>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</si>
  <si>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</si>
  <si>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</si>
  <si>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</si>
  <si>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</si>
  <si>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</si>
  <si>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</si>
  <si>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</si>
  <si>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</si>
  <si>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</si>
  <si>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</si>
  <si>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</si>
  <si>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</si>
  <si>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</si>
  <si>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</si>
  <si>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</si>
  <si>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</si>
  <si>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</si>
  <si>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</si>
  <si>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</si>
  <si>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</si>
  <si>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</si>
  <si>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</si>
  <si>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</si>
  <si>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</si>
  <si>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</si>
  <si>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</si>
  <si>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</si>
  <si>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</si>
  <si>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</si>
  <si>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</si>
  <si>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</si>
  <si>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</si>
  <si>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</si>
  <si>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</si>
  <si>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</si>
  <si>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</si>
  <si>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</si>
  <si>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</si>
  <si>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</si>
  <si>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</si>
  <si>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</si>
  <si>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</si>
  <si>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</si>
  <si>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</si>
  <si>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</si>
  <si>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</si>
  <si>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</si>
  <si>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</si>
  <si>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</si>
  <si>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</si>
  <si>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</si>
  <si>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</si>
  <si>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</si>
  <si>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</si>
  <si>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</si>
  <si>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</si>
  <si>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</si>
  <si>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</si>
  <si>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</si>
  <si>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</si>
  <si>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</si>
  <si>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</si>
  <si>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</si>
  <si>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</si>
  <si>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</si>
  <si>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</si>
  <si>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</si>
  <si>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</si>
  <si>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</si>
  <si>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</si>
  <si>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</si>
  <si>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</si>
  <si>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</si>
  <si>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</si>
  <si>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</si>
  <si>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</si>
  <si>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</si>
  <si>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</si>
  <si>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</si>
  <si>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</si>
  <si>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</si>
  <si>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</si>
  <si>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</si>
  <si>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</si>
  <si>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</si>
  <si>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</si>
  <si>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</si>
  <si>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</si>
  <si>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</si>
  <si>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</si>
  <si>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</si>
  <si>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</si>
  <si>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</si>
  <si>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</si>
  <si>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</si>
  <si>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</si>
  <si>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</si>
  <si>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</si>
  <si>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</si>
  <si>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</si>
  <si>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</si>
  <si>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</si>
  <si>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</si>
  <si>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</si>
  <si>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</si>
  <si>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</si>
  <si>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</si>
  <si>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</si>
  <si>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</si>
  <si>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</si>
  <si>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</si>
  <si>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</si>
  <si>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</si>
  <si>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</si>
  <si>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</si>
  <si>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</si>
  <si>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</si>
  <si>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</si>
  <si>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</si>
  <si>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</si>
  <si>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</si>
  <si>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</si>
  <si>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</si>
  <si>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</si>
  <si>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</si>
  <si>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</si>
  <si>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</si>
  <si>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</si>
  <si>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</si>
  <si>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</si>
  <si>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</si>
  <si>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</si>
  <si>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</si>
  <si>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</si>
  <si>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</si>
  <si>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</si>
  <si>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</si>
  <si>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</si>
  <si>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</si>
  <si>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</si>
  <si>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</si>
  <si>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</si>
  <si>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</si>
  <si>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</si>
  <si>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</si>
  <si>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</si>
  <si>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</si>
  <si>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</si>
  <si>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</si>
  <si>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</si>
  <si>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</si>
  <si>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</si>
  <si>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</si>
  <si>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</si>
  <si>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</si>
  <si>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</si>
  <si>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</si>
  <si>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</si>
  <si>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</si>
  <si>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</si>
  <si>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</si>
  <si>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</si>
  <si>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</si>
  <si>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</si>
  <si>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</si>
  <si>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</si>
  <si>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</si>
  <si>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</si>
  <si>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</si>
  <si>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</si>
  <si>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</si>
  <si>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</si>
  <si>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</si>
  <si>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</si>
  <si>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</si>
  <si>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</si>
  <si>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</si>
  <si>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</si>
  <si>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</si>
  <si>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</si>
  <si>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</si>
  <si>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</si>
  <si>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</si>
  <si>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</si>
  <si>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</si>
  <si>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</si>
  <si>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</si>
  <si>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</si>
  <si>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</si>
  <si>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</si>
  <si>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</si>
  <si>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</si>
  <si>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</si>
  <si>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</si>
  <si>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</si>
  <si>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</si>
  <si>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</si>
  <si>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</si>
  <si>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</si>
  <si>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</si>
  <si>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</si>
  <si>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</si>
  <si>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</si>
  <si>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</si>
  <si>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</si>
  <si>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</si>
  <si>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</si>
  <si>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</si>
  <si>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</si>
  <si>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</si>
  <si>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</si>
  <si>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</si>
  <si>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</si>
  <si>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</si>
  <si>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</si>
  <si>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</si>
  <si>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</si>
  <si>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</si>
  <si>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</si>
  <si>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</si>
  <si>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</si>
  <si>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</si>
  <si>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</si>
  <si>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</si>
  <si>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</si>
  <si>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</si>
  <si>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</si>
  <si>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</si>
  <si>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</si>
  <si>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</si>
  <si>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</si>
  <si>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</si>
  <si>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</si>
  <si>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</si>
  <si>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</si>
  <si>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</si>
  <si>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</si>
  <si>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</si>
  <si>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</si>
  <si>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</si>
  <si>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</si>
  <si>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</si>
  <si>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</si>
  <si>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</si>
  <si>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</si>
  <si>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</si>
  <si>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</si>
  <si>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</si>
  <si>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</si>
  <si>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</si>
  <si>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</si>
  <si>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</si>
  <si>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</si>
  <si>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</si>
  <si>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</si>
  <si>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</si>
  <si>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</si>
  <si>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</si>
  <si>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</si>
  <si>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</si>
  <si>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</si>
  <si>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</si>
  <si>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</si>
  <si>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</si>
  <si>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</si>
  <si>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</si>
  <si>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</si>
  <si>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</si>
  <si>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</si>
  <si>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</si>
  <si>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</si>
  <si>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</si>
  <si>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</si>
  <si>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</si>
  <si>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</si>
  <si>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</si>
  <si>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</si>
  <si>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</si>
  <si>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</si>
  <si>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</si>
  <si>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</si>
  <si>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</si>
  <si>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</si>
  <si>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</si>
  <si>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</si>
  <si>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</si>
  <si>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</si>
  <si>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</si>
  <si>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</si>
  <si>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</si>
  <si>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</si>
  <si>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</si>
  <si>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</si>
  <si>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</si>
  <si>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</si>
  <si>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</si>
  <si>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</si>
  <si>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</si>
  <si>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</si>
  <si>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</si>
  <si>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</si>
  <si>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</si>
  <si>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</si>
  <si>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</si>
  <si>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</si>
  <si>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</si>
  <si>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</si>
  <si>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</si>
  <si>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</si>
  <si>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</si>
  <si>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</si>
  <si>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</si>
  <si>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</si>
  <si>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</si>
  <si>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</si>
  <si>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</si>
  <si>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</si>
  <si>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</si>
  <si>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</si>
  <si>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</si>
  <si>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</si>
  <si>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</si>
  <si>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</si>
  <si>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</si>
  <si>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</si>
  <si>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</si>
  <si>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</si>
  <si>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</si>
  <si>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</si>
  <si>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</si>
  <si>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</si>
  <si>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</si>
  <si>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</si>
  <si>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</si>
  <si>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</si>
  <si>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</si>
  <si>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</si>
  <si>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</si>
  <si>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</si>
  <si>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</si>
  <si>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</si>
  <si>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</si>
  <si>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</si>
  <si>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</si>
  <si>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</si>
  <si>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</si>
  <si>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</si>
  <si>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</si>
  <si>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</si>
  <si>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</si>
  <si>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</si>
  <si>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</si>
  <si>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</si>
  <si>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</si>
  <si>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</si>
  <si>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</si>
  <si>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</si>
  <si>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</si>
  <si>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</si>
  <si>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</si>
  <si>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</si>
  <si>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</si>
  <si>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</si>
  <si>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</si>
  <si>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</si>
  <si>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</si>
  <si>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</si>
  <si>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</si>
  <si>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</si>
  <si>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</si>
  <si>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</si>
  <si>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</si>
  <si>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</si>
  <si>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</si>
  <si>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</si>
  <si>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</si>
  <si>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</si>
  <si>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</si>
  <si>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</si>
  <si>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</si>
  <si>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</si>
  <si>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</si>
  <si>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</si>
  <si>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</si>
  <si>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</si>
  <si>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</si>
  <si>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</si>
  <si>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</si>
  <si>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</si>
  <si>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</si>
  <si>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</si>
  <si>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</si>
  <si>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</si>
  <si>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</si>
  <si>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</si>
  <si>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</si>
  <si>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</si>
  <si>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</si>
  <si>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</si>
  <si>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</si>
  <si>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</si>
  <si>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</si>
  <si>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</si>
  <si>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</si>
  <si>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</si>
  <si>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</si>
  <si>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</si>
  <si>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</si>
  <si>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</si>
  <si>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</si>
  <si>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</si>
  <si>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</si>
  <si>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</si>
  <si>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</si>
  <si>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</si>
  <si>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</si>
  <si>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</si>
  <si>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</si>
  <si>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</si>
  <si>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</si>
  <si>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</si>
  <si>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</si>
  <si>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</si>
  <si>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</si>
  <si>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</si>
  <si>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</si>
  <si>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</si>
  <si>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</si>
  <si>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</si>
  <si>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</si>
  <si>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</si>
  <si>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</si>
  <si>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</si>
  <si>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</si>
  <si>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</si>
  <si>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</si>
  <si>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</si>
  <si>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</si>
  <si>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</si>
  <si>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</si>
  <si>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</si>
  <si>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</si>
  <si>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</si>
  <si>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</si>
  <si>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</si>
  <si>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</si>
  <si>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</si>
  <si>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</si>
  <si>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</si>
  <si>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</si>
  <si>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</si>
  <si>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</si>
  <si>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</si>
  <si>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</si>
  <si>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</si>
  <si>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</si>
  <si>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</si>
  <si>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</si>
  <si>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</si>
  <si>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</si>
  <si>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</si>
  <si>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</si>
  <si>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</si>
  <si>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</si>
  <si>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</si>
  <si>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</si>
  <si>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</si>
  <si>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</si>
  <si>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</si>
  <si>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</si>
  <si>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</si>
  <si>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</si>
  <si>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</si>
  <si>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</si>
  <si>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</si>
  <si>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</si>
  <si>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</si>
  <si>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</si>
  <si>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</si>
  <si>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</si>
  <si>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</si>
  <si>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</si>
  <si>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</si>
  <si>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</si>
  <si>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</si>
  <si>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</si>
  <si>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</si>
  <si>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</si>
  <si>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</si>
  <si>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</si>
  <si>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</si>
  <si>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</si>
  <si>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</si>
  <si>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</si>
  <si>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</si>
  <si>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</si>
  <si>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</si>
  <si>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</si>
  <si>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</si>
  <si>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</si>
  <si>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</si>
  <si>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</si>
  <si>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</si>
  <si>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</si>
  <si>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</si>
  <si>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</si>
  <si>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</si>
  <si>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</si>
  <si>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</si>
  <si>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</si>
  <si>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</si>
  <si>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</si>
  <si>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</si>
  <si>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</si>
  <si>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</si>
  <si>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</si>
  <si>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</si>
  <si>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</si>
  <si>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</si>
  <si>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</si>
  <si>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</si>
  <si>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</si>
  <si>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</si>
  <si>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</si>
  <si>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</si>
  <si>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</si>
  <si>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</si>
  <si>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</si>
  <si>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</si>
  <si>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</si>
  <si>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</si>
  <si>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</si>
  <si>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</si>
  <si>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</si>
  <si>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</si>
  <si>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</si>
  <si>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</si>
  <si>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</si>
  <si>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</si>
  <si>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</si>
  <si>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</si>
  <si>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</si>
  <si>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</si>
  <si>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</si>
  <si>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</si>
  <si>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</si>
  <si>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</si>
  <si>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</si>
  <si>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</si>
  <si>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</si>
  <si>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</si>
  <si>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</si>
  <si>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</si>
  <si>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</si>
  <si>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</si>
  <si>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</si>
  <si>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</si>
  <si>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</si>
  <si>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</si>
  <si>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</si>
  <si>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</si>
  <si>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</si>
  <si>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</si>
  <si>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</si>
  <si>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</si>
  <si>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</si>
  <si>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</si>
  <si>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</si>
  <si>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</si>
  <si>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</si>
  <si>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</si>
  <si>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</si>
  <si>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</si>
  <si>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</si>
  <si>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</si>
  <si>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</si>
  <si>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</si>
  <si>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</si>
  <si>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</si>
  <si>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</si>
  <si>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</si>
  <si>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</si>
  <si>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</si>
  <si>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</si>
  <si>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</si>
  <si>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</si>
  <si>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</si>
  <si>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</si>
  <si>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</si>
  <si>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</si>
  <si>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</si>
  <si>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</si>
  <si>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</si>
  <si>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</si>
  <si>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</si>
  <si>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</si>
  <si>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</si>
  <si>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</si>
  <si>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</si>
  <si>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</si>
  <si>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</si>
  <si>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</si>
  <si>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</si>
  <si>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</si>
  <si>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</si>
  <si>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</si>
  <si>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</si>
  <si>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</si>
  <si>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</si>
  <si>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</si>
  <si>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</si>
  <si>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</si>
  <si>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</si>
  <si>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</si>
  <si>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</si>
  <si>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</si>
  <si>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</si>
  <si>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</si>
  <si>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</si>
  <si>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</si>
  <si>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</si>
  <si>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</si>
  <si>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</si>
  <si>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</si>
  <si>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</si>
  <si>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</si>
  <si>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</si>
  <si>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</si>
  <si>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</si>
  <si>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</si>
  <si>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</si>
  <si>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</si>
  <si>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</si>
  <si>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</si>
  <si>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</si>
  <si>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</si>
  <si>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</si>
  <si>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</si>
  <si>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</si>
  <si>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</si>
  <si>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</si>
  <si>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</si>
  <si>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</si>
  <si>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</si>
  <si>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</si>
  <si>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</si>
  <si>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</si>
  <si>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</si>
  <si>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</si>
  <si>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</si>
  <si>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</si>
  <si>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</si>
  <si>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</si>
  <si>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</si>
  <si>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</si>
  <si>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</si>
  <si>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</si>
  <si>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</si>
  <si>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</si>
  <si>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</si>
  <si>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</si>
  <si>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</si>
  <si>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</si>
  <si>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</si>
  <si>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</si>
  <si>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</si>
  <si>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</si>
  <si>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</si>
  <si>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</si>
  <si>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</si>
  <si>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</si>
  <si>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</si>
  <si>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</si>
  <si>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</si>
  <si>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</si>
  <si>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</si>
  <si>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</si>
  <si>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</si>
  <si>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</si>
  <si>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</si>
  <si>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</si>
  <si>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</si>
  <si>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</si>
  <si>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</si>
  <si>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</si>
  <si>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</si>
  <si>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</si>
  <si>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</si>
  <si>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</si>
  <si>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</si>
  <si>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</si>
  <si>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</si>
  <si>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</si>
  <si>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</si>
  <si>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</si>
  <si>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</si>
  <si>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</si>
  <si>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</si>
  <si>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</si>
  <si>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</si>
  <si>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</si>
  <si>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</si>
  <si>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</si>
  <si>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</si>
  <si>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</si>
  <si>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</si>
  <si>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</si>
  <si>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</si>
  <si>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</si>
  <si>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</si>
  <si>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</si>
  <si>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</si>
  <si>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</si>
  <si>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</si>
  <si>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</si>
  <si>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</si>
  <si>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</si>
  <si>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</si>
  <si>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</si>
  <si>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</si>
  <si>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</si>
  <si>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</si>
  <si>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</si>
  <si>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</si>
  <si>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</si>
  <si>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</si>
  <si>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</si>
  <si>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</si>
  <si>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</si>
  <si>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</si>
  <si>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</si>
  <si>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</si>
  <si>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</si>
  <si>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</si>
  <si>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</si>
  <si>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</si>
  <si>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</si>
  <si>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</si>
  <si>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</si>
  <si>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</si>
  <si>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</si>
  <si>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</si>
  <si>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</si>
  <si>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</si>
  <si>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</si>
  <si>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</si>
  <si>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</si>
  <si>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</si>
  <si>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</si>
  <si>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</si>
  <si>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</si>
  <si>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</si>
  <si>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</si>
  <si>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</si>
  <si>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</si>
  <si>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</si>
  <si>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</si>
  <si>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</si>
  <si>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</si>
  <si>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</si>
  <si>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</si>
  <si>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</si>
  <si>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</si>
  <si>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</si>
  <si>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</si>
  <si>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</si>
  <si>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</si>
  <si>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</si>
  <si>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</si>
  <si>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</si>
  <si>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</si>
  <si>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</si>
  <si>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</si>
  <si>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</si>
  <si>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</si>
  <si>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</si>
  <si>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</si>
  <si>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</si>
  <si>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</si>
  <si>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</si>
  <si>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</si>
  <si>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</si>
  <si>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</si>
  <si>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</si>
  <si>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</si>
  <si>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</si>
  <si>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</si>
  <si>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</si>
  <si>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</si>
  <si>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</si>
  <si>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</si>
  <si>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</si>
  <si>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</si>
  <si>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</si>
  <si>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</si>
  <si>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</si>
  <si>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</si>
  <si>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</si>
  <si>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</si>
  <si>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</si>
  <si>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</si>
  <si>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</si>
  <si>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</si>
  <si>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</si>
  <si>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</si>
  <si>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</si>
  <si>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</si>
  <si>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</si>
  <si>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</si>
  <si>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</si>
  <si>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</si>
  <si>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</si>
  <si>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</si>
  <si>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</si>
  <si>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</si>
  <si>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</si>
  <si>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</si>
  <si>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</si>
  <si>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</si>
  <si>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</si>
  <si>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</si>
  <si>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</si>
  <si>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</si>
  <si>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</si>
  <si>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</si>
  <si>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</si>
  <si>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</si>
  <si>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</si>
  <si>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</si>
  <si>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</si>
  <si>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</si>
  <si>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</si>
  <si>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</si>
  <si>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</si>
  <si>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</si>
  <si>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</si>
  <si>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</si>
  <si>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</si>
  <si>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</si>
  <si>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</si>
  <si>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</si>
  <si>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</si>
  <si>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</si>
  <si>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</si>
  <si>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</si>
  <si>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</si>
  <si>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</si>
  <si>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</si>
  <si>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</si>
  <si>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</si>
  <si>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</si>
  <si>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</si>
  <si>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</si>
  <si>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</si>
  <si>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</si>
  <si>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</si>
  <si>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</si>
  <si>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</si>
  <si>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</si>
  <si>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</si>
  <si>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</si>
  <si>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</si>
  <si>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</si>
  <si>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</si>
  <si>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</si>
  <si>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</si>
  <si>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</si>
  <si>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</si>
  <si>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</si>
  <si>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</si>
  <si>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</si>
  <si>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</si>
  <si>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</si>
  <si>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</si>
  <si>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</si>
  <si>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</si>
  <si>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</si>
  <si>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</si>
  <si>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</si>
  <si>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</si>
  <si>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</si>
  <si>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</si>
  <si>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</si>
  <si>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</si>
  <si>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</si>
  <si>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</si>
  <si>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</si>
  <si>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</si>
  <si>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</si>
  <si>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</si>
  <si>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</si>
  <si>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</si>
  <si>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</si>
  <si>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</si>
  <si>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</si>
  <si>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</si>
  <si>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</si>
  <si>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</si>
  <si>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</si>
  <si>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</si>
  <si>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</si>
  <si>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</si>
  <si>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</si>
  <si>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</si>
  <si>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</si>
  <si>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</si>
  <si>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</si>
  <si>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</si>
  <si>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</si>
  <si>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</si>
  <si>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</si>
  <si>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</si>
  <si>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</si>
  <si>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</si>
  <si>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</si>
  <si>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</si>
  <si>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</si>
  <si>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</si>
  <si>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</si>
  <si>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</si>
  <si>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</si>
  <si>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</si>
  <si>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</si>
  <si>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</si>
  <si>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</si>
  <si>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</si>
  <si>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</si>
  <si>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</si>
  <si>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</si>
  <si>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</si>
  <si>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</si>
  <si>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</si>
  <si>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</si>
  <si>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</si>
  <si>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</si>
  <si>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</si>
  <si>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</si>
  <si>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</si>
  <si>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</si>
  <si>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</si>
  <si>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</si>
  <si>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</si>
  <si>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</si>
  <si>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</si>
  <si>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</si>
  <si>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</si>
  <si>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</si>
  <si>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</si>
  <si>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</si>
  <si>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</si>
  <si>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</si>
  <si>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</si>
  <si>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</si>
  <si>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</si>
  <si>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</si>
  <si>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</si>
  <si>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</si>
  <si>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</si>
  <si>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</si>
  <si>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</si>
  <si>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</si>
  <si>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</si>
  <si>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</si>
  <si>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</si>
  <si>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</si>
  <si>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</si>
  <si>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</si>
  <si>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</si>
  <si>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</si>
  <si>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</si>
  <si>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</si>
  <si>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</si>
  <si>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</si>
  <si>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</si>
  <si>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</si>
  <si>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</si>
  <si>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</si>
  <si>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</si>
  <si>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</si>
  <si>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</si>
  <si>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</si>
  <si>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</si>
  <si>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</si>
  <si>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</si>
  <si>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</si>
  <si>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</si>
  <si>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</si>
  <si>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</si>
  <si>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</si>
  <si>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</si>
  <si>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</si>
  <si>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</si>
  <si>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</si>
  <si>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</si>
  <si>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</si>
  <si>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</si>
  <si>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</si>
  <si>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</si>
  <si>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</si>
  <si>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</si>
  <si>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</si>
  <si>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</si>
  <si>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</si>
  <si>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</si>
  <si>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</si>
  <si>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</si>
  <si>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</si>
  <si>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</si>
  <si>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</si>
  <si>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</si>
  <si>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</si>
  <si>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</si>
  <si>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</si>
  <si>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</si>
  <si>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</si>
  <si>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</si>
  <si>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</si>
  <si>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</si>
  <si>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</si>
  <si>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</si>
  <si>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</si>
  <si>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</si>
  <si>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</si>
  <si>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</si>
  <si>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</si>
  <si>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</si>
  <si>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</si>
  <si>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</si>
  <si>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</si>
  <si>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</si>
  <si>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</si>
  <si>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</si>
  <si>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</si>
  <si>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</si>
  <si>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</si>
  <si>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</si>
  <si>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</si>
  <si>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</si>
  <si>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</si>
  <si>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</si>
  <si>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</si>
  <si>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</si>
  <si>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</si>
  <si>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</si>
  <si>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</si>
  <si>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</si>
  <si>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</si>
  <si>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</si>
  <si>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</si>
  <si>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</si>
  <si>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</si>
  <si>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</si>
  <si>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</si>
  <si>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</si>
  <si>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</si>
  <si>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</si>
  <si>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</si>
  <si>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</si>
  <si>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</si>
  <si>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</si>
  <si>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</si>
  <si>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</si>
  <si>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</si>
  <si>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</si>
  <si>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</si>
  <si>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</si>
  <si>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</si>
  <si>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</si>
  <si>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</si>
  <si>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</si>
  <si>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</si>
  <si>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</si>
  <si>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</si>
  <si>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</si>
  <si>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</si>
  <si>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</si>
  <si>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</si>
  <si>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</si>
  <si>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</si>
  <si>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</si>
  <si>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</si>
  <si>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</si>
  <si>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</si>
  <si>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</si>
  <si>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</si>
  <si>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</si>
  <si>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</si>
  <si>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</si>
  <si>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</si>
  <si>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</si>
  <si>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</si>
  <si>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</si>
  <si>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</si>
  <si>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</si>
  <si>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</si>
  <si>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</si>
  <si>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</si>
  <si>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</si>
  <si>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</si>
  <si>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</si>
  <si>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</si>
  <si>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</si>
  <si>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</si>
  <si>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</si>
  <si>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</si>
  <si>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</si>
  <si>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</si>
  <si>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</si>
  <si>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</si>
  <si>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</si>
  <si>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</si>
  <si>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</si>
  <si>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</si>
  <si>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</si>
  <si>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</si>
  <si>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</si>
  <si>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</si>
  <si>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</si>
  <si>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</si>
  <si>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</si>
  <si>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</si>
  <si>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</si>
  <si>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</si>
  <si>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</si>
  <si>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</si>
  <si>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</si>
  <si>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</si>
  <si>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</si>
  <si>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</si>
  <si>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</si>
  <si>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</si>
  <si>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</si>
  <si>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</si>
  <si>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</si>
  <si>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</si>
  <si>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</si>
  <si>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</si>
  <si>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</si>
  <si>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</si>
  <si>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</si>
  <si>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</si>
  <si>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</si>
  <si>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</si>
  <si>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</si>
  <si>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</si>
  <si>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</si>
  <si>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</si>
  <si>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</si>
  <si>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</si>
  <si>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</si>
  <si>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</si>
  <si>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</si>
  <si>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</si>
  <si>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</si>
  <si>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</si>
  <si>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</si>
  <si>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</si>
  <si>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</si>
  <si>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</si>
  <si>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</si>
  <si>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</si>
  <si>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</si>
  <si>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</si>
  <si>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</si>
  <si>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</si>
  <si>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</si>
  <si>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</si>
  <si>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</si>
  <si>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</si>
  <si>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</si>
  <si>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</si>
  <si>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</si>
  <si>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</si>
  <si>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</si>
  <si>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</si>
  <si>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</si>
  <si>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</si>
  <si>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</si>
  <si>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</si>
  <si>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</si>
  <si>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</si>
  <si>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</si>
  <si>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</si>
  <si>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</si>
  <si>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</si>
  <si>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</si>
  <si>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</si>
  <si>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</si>
  <si>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</si>
  <si>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</si>
  <si>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</si>
  <si>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</si>
  <si>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</si>
  <si>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</si>
  <si>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</si>
  <si>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</si>
  <si>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</si>
  <si>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</si>
  <si>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</si>
  <si>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</si>
  <si>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</si>
  <si>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</si>
  <si>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</si>
  <si>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</si>
  <si>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</si>
  <si>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</si>
  <si>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</si>
  <si>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</si>
  <si>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</si>
  <si>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</si>
  <si>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</si>
  <si>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</si>
  <si>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</si>
  <si>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</si>
  <si>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</si>
  <si>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</si>
  <si>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</si>
  <si>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</si>
  <si>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</si>
  <si>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</si>
  <si>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</si>
  <si>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</si>
  <si>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</si>
  <si>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</si>
  <si>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</si>
  <si>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</si>
  <si>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</si>
  <si>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</si>
  <si>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</si>
  <si>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</si>
  <si>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</si>
  <si>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</si>
  <si>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</si>
  <si>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</si>
  <si>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</si>
  <si>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</si>
  <si>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</si>
  <si>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</si>
  <si>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</si>
  <si>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</si>
  <si>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</si>
  <si>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</si>
  <si>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</si>
  <si>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</si>
  <si>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</si>
  <si>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</si>
  <si>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</si>
  <si>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</si>
  <si>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</si>
  <si>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</si>
  <si>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</si>
  <si>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</si>
  <si>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</si>
  <si>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</si>
  <si>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</si>
  <si>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</si>
  <si>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</si>
  <si>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</si>
  <si>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</si>
  <si>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</si>
  <si>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</si>
  <si>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</si>
  <si>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</si>
  <si>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</si>
  <si>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</si>
  <si>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</si>
  <si>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</si>
  <si>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</si>
  <si>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</si>
  <si>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</si>
  <si>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</si>
  <si>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</si>
  <si>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</si>
  <si>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</si>
  <si>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</si>
  <si>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</si>
  <si>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</si>
  <si>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</si>
  <si>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</si>
  <si>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</si>
  <si>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</si>
  <si>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</si>
  <si>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</si>
  <si>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</si>
  <si>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</si>
  <si>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</si>
  <si>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</si>
  <si>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</si>
  <si>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</si>
  <si>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</si>
  <si>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</si>
  <si>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</si>
  <si>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</si>
  <si>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</si>
  <si>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</si>
  <si>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</si>
  <si>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</si>
  <si>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</si>
  <si>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</si>
  <si>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</si>
  <si>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</si>
  <si>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</si>
  <si>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</si>
  <si>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</si>
  <si>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</si>
  <si>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</si>
  <si>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</si>
  <si>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</si>
  <si>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</si>
  <si>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</si>
  <si>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</si>
  <si>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</si>
  <si>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</si>
  <si>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</si>
  <si>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</si>
  <si>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</si>
  <si>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</si>
  <si>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</si>
  <si>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</si>
  <si>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</si>
  <si>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</si>
  <si>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</si>
  <si>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</si>
  <si>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</si>
  <si>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</si>
  <si>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</si>
  <si>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</si>
  <si>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</si>
  <si>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</si>
  <si>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</si>
  <si>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</si>
  <si>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</si>
  <si>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</si>
  <si>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</si>
  <si>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</si>
  <si>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</si>
  <si>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</si>
  <si>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</si>
  <si>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</si>
  <si>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</si>
  <si>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</si>
  <si>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</si>
  <si>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</si>
  <si>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</si>
  <si>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</si>
  <si>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</si>
  <si>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</si>
  <si>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</si>
  <si>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</si>
  <si>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</si>
  <si>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</si>
  <si>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</si>
  <si>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</si>
  <si>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</si>
  <si>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</si>
  <si>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</si>
  <si>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</si>
  <si>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</si>
  <si>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</si>
  <si>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</si>
  <si>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</si>
  <si>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</si>
  <si>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</si>
  <si>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</si>
  <si>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</si>
  <si>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</si>
  <si>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</si>
  <si>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</si>
  <si>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</si>
  <si>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</si>
  <si>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</si>
  <si>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</si>
  <si>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</si>
  <si>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</si>
  <si>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</si>
  <si>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</si>
  <si>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</si>
  <si>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</si>
  <si>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</si>
  <si>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</si>
  <si>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</si>
  <si>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</si>
  <si>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</si>
  <si>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</si>
  <si>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</si>
  <si>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</si>
  <si>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</si>
  <si>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</si>
  <si>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</si>
  <si>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</si>
  <si>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</si>
  <si>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</si>
  <si>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</si>
  <si>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</si>
  <si>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</si>
  <si>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</si>
  <si>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</si>
  <si>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</si>
  <si>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</si>
  <si>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</si>
  <si>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</si>
  <si>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</si>
  <si>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</si>
  <si>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</si>
  <si>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</si>
  <si>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</si>
  <si>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</si>
  <si>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</si>
  <si>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</si>
  <si>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</si>
  <si>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</si>
  <si>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</si>
  <si>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</si>
  <si>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</si>
  <si>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</si>
  <si>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</si>
  <si>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</si>
  <si>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</si>
  <si>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</si>
  <si>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</si>
  <si>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</si>
  <si>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</si>
  <si>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</si>
  <si>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</si>
  <si>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</si>
  <si>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</si>
  <si>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</si>
  <si>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</si>
  <si>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</si>
  <si>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</si>
  <si>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</si>
  <si>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</si>
  <si>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</si>
  <si>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</si>
  <si>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</si>
  <si>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</si>
  <si>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</si>
  <si>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</si>
  <si>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</si>
  <si>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</si>
  <si>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</si>
  <si>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</si>
  <si>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</si>
  <si>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</si>
  <si>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</si>
  <si>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</si>
  <si>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</si>
  <si>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</si>
  <si>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</si>
  <si>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</si>
  <si>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</si>
  <si>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</si>
  <si>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</si>
  <si>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</si>
  <si>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</si>
  <si>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</si>
  <si>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</si>
  <si>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</si>
  <si>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</si>
  <si>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</si>
  <si>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</si>
  <si>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</si>
  <si>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</si>
  <si>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</si>
  <si>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</si>
  <si>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</si>
  <si>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</si>
  <si>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</si>
  <si>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</si>
  <si>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</si>
  <si>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</si>
  <si>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</si>
  <si>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</si>
  <si>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</si>
  <si>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</si>
  <si>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</si>
  <si>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</si>
  <si>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</si>
  <si>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</si>
  <si>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</si>
  <si>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</si>
  <si>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</si>
  <si>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</si>
  <si>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</si>
  <si>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</si>
  <si>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</si>
  <si>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</si>
  <si>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</si>
  <si>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</si>
  <si>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</si>
  <si>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</si>
  <si>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</si>
  <si>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</si>
  <si>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</si>
  <si>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</si>
  <si>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</si>
  <si>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</si>
  <si>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</si>
  <si>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</si>
  <si>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</si>
  <si>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</si>
  <si>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</si>
  <si>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</si>
  <si>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</si>
  <si>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</si>
  <si>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</si>
  <si>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</si>
  <si>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</si>
  <si>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</si>
  <si>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</si>
  <si>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</si>
  <si>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</si>
  <si>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</si>
  <si>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</si>
  <si>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</si>
  <si>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</si>
  <si>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</si>
  <si>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</si>
  <si>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</si>
  <si>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</si>
  <si>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</si>
  <si>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</si>
  <si>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</si>
  <si>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</si>
  <si>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</si>
  <si>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</si>
  <si>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</si>
  <si>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</si>
  <si>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</si>
  <si>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</si>
  <si>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</si>
  <si>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</si>
  <si>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</si>
  <si>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</si>
  <si>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</si>
  <si>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</si>
  <si>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</si>
  <si>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</si>
  <si>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</si>
  <si>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</si>
  <si>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</si>
  <si>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</si>
  <si>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</si>
  <si>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</si>
  <si>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</si>
  <si>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</si>
  <si>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</si>
  <si>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</si>
  <si>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</si>
  <si>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</si>
  <si>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</si>
  <si>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</si>
  <si>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</si>
  <si>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</si>
  <si>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</si>
  <si>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</si>
  <si>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</si>
  <si>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</si>
  <si>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</si>
  <si>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</si>
  <si>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</si>
  <si>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</si>
  <si>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</si>
  <si>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</si>
  <si>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</si>
  <si>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</si>
  <si>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</si>
  <si>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</si>
  <si>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</si>
  <si>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</si>
  <si>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</si>
  <si>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</si>
  <si>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</si>
  <si>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</si>
  <si>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</si>
  <si>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</si>
  <si>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</si>
  <si>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</si>
  <si>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</si>
  <si>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</si>
  <si>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</si>
  <si>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</si>
  <si>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</si>
  <si>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</si>
  <si>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</si>
  <si>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</si>
  <si>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</si>
  <si>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</si>
  <si>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</si>
  <si>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</si>
  <si>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</si>
  <si>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</si>
  <si>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</si>
  <si>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</si>
  <si>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</si>
  <si>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</si>
  <si>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</si>
  <si>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</si>
  <si>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</si>
  <si>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</si>
  <si>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</si>
  <si>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</si>
  <si>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</si>
  <si>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</si>
  <si>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</si>
  <si>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</si>
  <si>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</si>
  <si>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</si>
  <si>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</si>
  <si>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</si>
  <si>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</si>
  <si>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</si>
  <si>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</si>
  <si>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</si>
  <si>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</si>
  <si>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</si>
  <si>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</si>
  <si>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</si>
  <si>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</si>
  <si>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</si>
  <si>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</si>
  <si>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</si>
  <si>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</si>
  <si>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</si>
  <si>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</si>
  <si>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</si>
  <si>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</si>
  <si>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</si>
  <si>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</si>
  <si>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</si>
  <si>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</si>
  <si>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</si>
  <si>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</si>
  <si>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</si>
  <si>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</si>
  <si>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</si>
  <si>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</si>
  <si>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</si>
  <si>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</si>
  <si>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</si>
  <si>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</si>
  <si>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</si>
  <si>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</si>
  <si>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</si>
  <si>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</si>
  <si>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</si>
  <si>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</si>
  <si>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</si>
  <si>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</si>
  <si>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</si>
  <si>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</si>
  <si>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</si>
  <si>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</si>
  <si>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</si>
  <si>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</si>
  <si>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</si>
  <si>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</si>
  <si>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</si>
  <si>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</si>
  <si>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</si>
  <si>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</si>
  <si>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</si>
  <si>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</si>
  <si>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</si>
  <si>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</si>
  <si>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</si>
  <si>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</si>
  <si>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</si>
  <si>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</si>
  <si>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</si>
  <si>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</si>
  <si>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</si>
  <si>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</si>
  <si>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</si>
  <si>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</si>
  <si>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</si>
  <si>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</si>
  <si>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</si>
  <si>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</si>
  <si>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</si>
  <si>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</si>
  <si>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</si>
  <si>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</si>
  <si>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</si>
  <si>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</si>
  <si>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</si>
  <si>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</si>
  <si>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</si>
  <si>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</si>
  <si>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</si>
  <si>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</si>
  <si>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</si>
  <si>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</si>
  <si>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</si>
  <si>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</si>
  <si>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</si>
  <si>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</si>
  <si>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</si>
  <si>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</si>
  <si>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</si>
  <si>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</si>
  <si>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</si>
  <si>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</si>
  <si>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</si>
  <si>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</si>
  <si>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</si>
  <si>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</si>
  <si>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</si>
  <si>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</si>
  <si>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</si>
  <si>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</si>
  <si>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</si>
  <si>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</si>
  <si>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</si>
  <si>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</si>
  <si>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</si>
  <si>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</si>
  <si>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</si>
  <si>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</si>
  <si>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</si>
  <si>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</si>
  <si>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</si>
  <si>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</si>
  <si>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</si>
  <si>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</si>
  <si>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</si>
  <si>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</si>
  <si>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</si>
  <si>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</si>
  <si>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</si>
  <si>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</si>
  <si>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</si>
  <si>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</si>
  <si>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</si>
  <si>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</si>
  <si>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</si>
  <si>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</si>
  <si>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</si>
  <si>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</si>
  <si>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</si>
  <si>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</si>
  <si>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</si>
  <si>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</si>
  <si>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</si>
  <si>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</si>
  <si>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</si>
  <si>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</si>
  <si>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</si>
  <si>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</si>
  <si>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</si>
  <si>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</si>
  <si>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</si>
  <si>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</si>
  <si>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</si>
  <si>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</si>
  <si>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</si>
  <si>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</si>
  <si>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</si>
  <si>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</si>
  <si>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</si>
  <si>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</si>
  <si>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</si>
  <si>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</si>
  <si>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</si>
  <si>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</si>
  <si>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</si>
  <si>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</si>
  <si>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</si>
  <si>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</si>
  <si>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</si>
  <si>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</si>
  <si>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</si>
  <si>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</si>
  <si>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</si>
  <si>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</si>
  <si>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</si>
  <si>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</si>
  <si>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</si>
  <si>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</si>
  <si>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</si>
  <si>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</si>
  <si>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</si>
  <si>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</si>
  <si>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</si>
  <si>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</si>
  <si>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</si>
  <si>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</si>
  <si>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</si>
  <si>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</si>
  <si>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</si>
  <si>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</si>
  <si>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</si>
  <si>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</si>
  <si>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</si>
  <si>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</si>
  <si>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</si>
  <si>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</si>
  <si>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</si>
  <si>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</si>
  <si>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</si>
  <si>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</si>
  <si>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</si>
  <si>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</si>
  <si>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</si>
  <si>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</si>
  <si>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</si>
  <si>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</si>
  <si>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</si>
  <si>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</si>
  <si>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</si>
  <si>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</si>
  <si>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</si>
  <si>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</si>
  <si>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</si>
  <si>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</si>
  <si>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</si>
  <si>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</si>
  <si>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</si>
  <si>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</si>
  <si>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</si>
  <si>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</si>
  <si>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</si>
  <si>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</si>
  <si>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</si>
  <si>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</si>
  <si>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</si>
  <si>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</si>
  <si>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</si>
  <si>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</si>
  <si>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</si>
  <si>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</si>
  <si>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</si>
  <si>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</si>
  <si>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</si>
  <si>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</si>
  <si>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</si>
  <si>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</si>
  <si>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</si>
  <si>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</si>
  <si>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</si>
  <si>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</si>
  <si>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</si>
  <si>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</si>
  <si>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</si>
  <si>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</si>
  <si>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</si>
  <si>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</si>
  <si>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</si>
  <si>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</si>
  <si>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</si>
  <si>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</si>
  <si>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</si>
  <si>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</si>
  <si>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</si>
  <si>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</si>
  <si>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</si>
  <si>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</si>
  <si>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</si>
  <si>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</si>
  <si>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</si>
  <si>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</si>
  <si>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</si>
  <si>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</si>
  <si>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</si>
  <si>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</si>
  <si>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</si>
  <si>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</si>
  <si>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</si>
  <si>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</si>
  <si>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</si>
  <si>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</si>
  <si>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</si>
  <si>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</si>
  <si>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</si>
  <si>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</si>
  <si>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</si>
  <si>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</si>
  <si>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</si>
  <si>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</si>
  <si>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</si>
  <si>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</si>
  <si>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</si>
  <si>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</si>
  <si>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</si>
  <si>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</si>
  <si>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</si>
  <si>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</si>
  <si>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</si>
  <si>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</si>
  <si>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</si>
  <si>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</si>
  <si>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</si>
  <si>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</si>
  <si>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</si>
  <si>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</si>
  <si>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</si>
  <si>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</si>
  <si>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</si>
  <si>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</si>
  <si>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</si>
  <si>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</si>
  <si>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</si>
  <si>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</si>
  <si>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</si>
  <si>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</si>
  <si>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</si>
  <si>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</si>
  <si>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</si>
  <si>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</si>
  <si>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</si>
  <si>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</si>
  <si>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</si>
  <si>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</si>
  <si>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</si>
  <si>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</si>
  <si>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</si>
  <si>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</si>
  <si>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</si>
  <si>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</si>
  <si>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</si>
  <si>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</si>
  <si>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</si>
  <si>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</si>
  <si>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</si>
  <si>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</si>
  <si>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</si>
  <si>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</si>
  <si>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</si>
  <si>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</si>
  <si>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</si>
  <si>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</si>
  <si>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</si>
  <si>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</si>
  <si>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</si>
  <si>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</si>
  <si>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</si>
  <si>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</si>
  <si>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</si>
  <si>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</si>
  <si>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</si>
  <si>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</si>
  <si>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</si>
  <si>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</si>
  <si>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</si>
  <si>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</si>
  <si>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</si>
  <si>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</si>
  <si>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</si>
  <si>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</si>
  <si>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</si>
  <si>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</si>
  <si>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</si>
  <si>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</si>
  <si>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</si>
  <si>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</si>
  <si>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</si>
  <si>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</si>
  <si>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</si>
  <si>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</si>
  <si>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</si>
  <si>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</si>
  <si>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</si>
  <si>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</si>
  <si>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</si>
  <si>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</si>
  <si>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</si>
  <si>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</si>
  <si>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</si>
  <si>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</si>
  <si>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</si>
  <si>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</si>
  <si>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</si>
  <si>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</si>
  <si>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</si>
  <si>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</si>
  <si>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</si>
  <si>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</si>
  <si>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</si>
  <si>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</si>
  <si>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</si>
  <si>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</si>
  <si>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</si>
  <si>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</si>
  <si>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</si>
  <si>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</si>
  <si>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</si>
  <si>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</si>
  <si>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</si>
  <si>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</si>
  <si>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</si>
  <si>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</si>
  <si>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</si>
  <si>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</si>
  <si>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</si>
  <si>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</si>
  <si>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</si>
  <si>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</si>
  <si>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</si>
  <si>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</si>
  <si>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</si>
  <si>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</si>
  <si>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</si>
  <si>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</si>
  <si>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</si>
  <si>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</si>
  <si>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</si>
  <si>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</si>
  <si>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</si>
  <si>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</si>
  <si>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</si>
  <si>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</si>
  <si>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</si>
  <si>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</si>
  <si>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</si>
  <si>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</si>
  <si>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</si>
  <si>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</si>
  <si>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</si>
  <si>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</si>
  <si>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</si>
  <si>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</si>
  <si>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</si>
  <si>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</si>
  <si>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</si>
  <si>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</si>
  <si>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</si>
  <si>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</si>
  <si>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</si>
  <si>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</si>
  <si>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</si>
  <si>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</si>
  <si>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</si>
  <si>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</si>
  <si>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</si>
  <si>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</si>
  <si>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</si>
  <si>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</si>
  <si>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</si>
  <si>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</si>
  <si>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</si>
  <si>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</si>
  <si>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</si>
  <si>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</si>
  <si>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</si>
  <si>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</si>
  <si>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</si>
  <si>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</si>
  <si>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</si>
  <si>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</si>
  <si>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</si>
  <si>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</si>
  <si>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</si>
  <si>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</si>
  <si>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</si>
  <si>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</si>
  <si>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</si>
  <si>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</si>
  <si>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</si>
  <si>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</si>
  <si>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</si>
  <si>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</si>
  <si>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</si>
  <si>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</si>
  <si>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</si>
  <si>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</si>
  <si>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</si>
  <si>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</si>
  <si>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</si>
  <si>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</si>
  <si>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</si>
  <si>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</si>
  <si>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</si>
  <si>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</si>
  <si>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</si>
  <si>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</si>
  <si>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</si>
  <si>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</si>
  <si>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</si>
  <si>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</si>
  <si>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</si>
  <si>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</si>
  <si>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</si>
  <si>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</si>
  <si>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</si>
  <si>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</si>
  <si>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</si>
  <si>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</si>
  <si>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</si>
  <si>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</si>
  <si>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</si>
  <si>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</si>
  <si>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</si>
  <si>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</si>
  <si>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</si>
  <si>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</si>
  <si>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</si>
  <si>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</si>
  <si>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</si>
  <si>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</si>
  <si>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</si>
  <si>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</si>
  <si>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</si>
  <si>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</si>
  <si>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</si>
  <si>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</si>
  <si>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</si>
  <si>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</si>
  <si>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</si>
  <si>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</si>
  <si>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</si>
  <si>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</si>
  <si>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</si>
  <si>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</si>
  <si>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</si>
  <si>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</si>
  <si>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</si>
  <si>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</si>
  <si>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</si>
  <si>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</si>
  <si>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</si>
  <si>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</si>
  <si>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</si>
  <si>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</si>
  <si>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</si>
  <si>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</si>
  <si>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</si>
  <si>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</si>
  <si>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</si>
  <si>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</si>
  <si>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</si>
  <si>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</si>
  <si>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</si>
  <si>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</si>
  <si>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</si>
  <si>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</si>
  <si>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</si>
  <si>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</si>
  <si>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</si>
  <si>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</si>
  <si>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</si>
  <si>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</si>
  <si>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</si>
  <si>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</si>
  <si>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</si>
  <si>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</si>
  <si>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</si>
  <si>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</si>
  <si>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</si>
  <si>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</si>
  <si>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</si>
  <si>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</si>
  <si>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</si>
  <si>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</si>
  <si>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</si>
  <si>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</si>
  <si>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</si>
  <si>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</si>
  <si>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</si>
  <si>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</si>
  <si>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</si>
  <si>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</si>
  <si>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</si>
  <si>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</si>
  <si>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</si>
  <si>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</si>
  <si>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</si>
  <si>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</si>
  <si>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</si>
  <si>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</si>
  <si>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</si>
  <si>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</si>
  <si>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</si>
  <si>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</si>
  <si>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</si>
  <si>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</si>
  <si>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</si>
  <si>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</si>
  <si>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</si>
  <si>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</si>
  <si>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</si>
  <si>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</si>
  <si>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</si>
  <si>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</si>
  <si>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</si>
  <si>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</si>
  <si>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</si>
  <si>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</si>
  <si>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</si>
  <si>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</si>
  <si>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</si>
  <si>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</si>
  <si>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</si>
  <si>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</si>
  <si>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</si>
  <si>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</si>
  <si>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</si>
  <si>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</si>
  <si>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</si>
  <si>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</si>
  <si>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</si>
  <si>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</si>
  <si>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</si>
  <si>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</si>
  <si>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</si>
  <si>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</si>
  <si>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</si>
  <si>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</si>
  <si>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</si>
  <si>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</si>
  <si>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</si>
  <si>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</si>
  <si>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</si>
  <si>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</si>
  <si>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</si>
  <si>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</si>
  <si>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</si>
  <si>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</si>
  <si>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</si>
  <si>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</si>
  <si>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</si>
  <si>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</si>
  <si>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</si>
  <si>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</si>
  <si>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</si>
  <si>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</si>
  <si>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</si>
  <si>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</si>
  <si>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</si>
  <si>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</si>
  <si>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</si>
  <si>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</si>
  <si>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</si>
  <si>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</si>
  <si>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</si>
  <si>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</si>
  <si>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</si>
  <si>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</si>
  <si>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</si>
  <si>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</si>
  <si>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</si>
  <si>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</si>
  <si>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</si>
  <si>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</si>
  <si>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</si>
  <si>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</si>
  <si>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</si>
  <si>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</si>
  <si>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</si>
  <si>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</si>
  <si>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</si>
  <si>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</si>
  <si>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</si>
  <si>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</si>
  <si>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</si>
  <si>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</si>
  <si>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</si>
  <si>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</si>
  <si>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</si>
  <si>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</si>
  <si>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</si>
  <si>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</si>
  <si>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</si>
  <si>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</si>
  <si>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</si>
  <si>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</si>
  <si>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</si>
  <si>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</si>
  <si>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</si>
  <si>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</si>
  <si>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</si>
  <si>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</si>
  <si>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</si>
  <si>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</si>
  <si>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</si>
  <si>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</si>
  <si>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</si>
  <si>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</si>
  <si>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</si>
  <si>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</si>
  <si>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</si>
  <si>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</si>
  <si>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</si>
  <si>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</si>
  <si>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</si>
  <si>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</si>
  <si>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</si>
  <si>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</si>
  <si>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</si>
  <si>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</si>
  <si>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</si>
  <si>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</si>
  <si>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</si>
  <si>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</si>
  <si>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</si>
  <si>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</si>
  <si>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</si>
  <si>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</si>
  <si>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</si>
  <si>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</si>
  <si>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</si>
  <si>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</si>
  <si>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</si>
  <si>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</si>
  <si>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</si>
  <si>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</si>
  <si>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</si>
  <si>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</si>
  <si>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</si>
  <si>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</si>
  <si>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</si>
  <si>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</si>
  <si>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</si>
  <si>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</si>
  <si>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</si>
  <si>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</si>
  <si>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</si>
  <si>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</si>
  <si>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</si>
  <si>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</si>
  <si>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</si>
  <si>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</si>
  <si>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</si>
  <si>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</si>
  <si>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</si>
  <si>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</si>
  <si>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</si>
  <si>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</si>
  <si>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</si>
  <si>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</si>
  <si>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</si>
  <si>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</si>
  <si>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</si>
  <si>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</si>
  <si>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</si>
  <si>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</si>
  <si>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</si>
  <si>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</si>
  <si>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</si>
  <si>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</si>
  <si>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</si>
  <si>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</si>
  <si>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</si>
  <si>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</si>
  <si>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</si>
  <si>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</si>
  <si>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</si>
  <si>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</si>
  <si>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</si>
  <si>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</si>
  <si>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</si>
  <si>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</si>
  <si>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</si>
  <si>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</si>
  <si>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</si>
  <si>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</si>
  <si>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</si>
  <si>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</si>
  <si>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</si>
  <si>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</si>
  <si>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</si>
  <si>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</si>
  <si>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</si>
  <si>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</si>
  <si>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</si>
  <si>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</si>
  <si>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</si>
  <si>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</si>
  <si>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</si>
  <si>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</si>
  <si>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</si>
  <si>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</si>
  <si>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</si>
  <si>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</si>
  <si>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</si>
  <si>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</si>
  <si>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</si>
  <si>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</si>
  <si>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</si>
  <si>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</si>
  <si>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</si>
  <si>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</si>
  <si>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</si>
  <si>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</si>
  <si>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</si>
  <si>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</si>
  <si>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</si>
  <si>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</si>
  <si>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</si>
  <si>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</si>
  <si>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</si>
  <si>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</si>
  <si>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</si>
  <si>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</si>
  <si>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</si>
  <si>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</si>
  <si>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</si>
  <si>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</si>
  <si>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</si>
  <si>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</si>
  <si>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</si>
  <si>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</si>
  <si>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</si>
  <si>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</si>
  <si>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</si>
  <si>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</si>
  <si>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</si>
  <si>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</si>
  <si>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</si>
  <si>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</si>
  <si>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</si>
  <si>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</si>
  <si>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</si>
  <si>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</si>
  <si>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</si>
  <si>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</si>
  <si>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</si>
  <si>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</si>
  <si>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</si>
  <si>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</si>
  <si>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</si>
  <si>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</si>
  <si>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</si>
  <si>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</si>
  <si>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</si>
  <si>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</si>
  <si>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</si>
  <si>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</si>
  <si>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</si>
  <si>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</si>
  <si>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</si>
  <si>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</si>
  <si>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</si>
  <si>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</si>
  <si>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</si>
  <si>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</si>
  <si>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</si>
  <si>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</si>
  <si>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</si>
  <si>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</si>
  <si>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</si>
  <si>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</si>
  <si>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</si>
  <si>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</si>
  <si>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</si>
  <si>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</si>
  <si>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</si>
  <si>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</si>
  <si>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</si>
  <si>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</si>
  <si>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</si>
  <si>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</si>
  <si>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</si>
  <si>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</si>
  <si>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</si>
  <si>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</si>
  <si>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</si>
  <si>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</si>
  <si>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</si>
  <si>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</si>
  <si>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</si>
  <si>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</si>
  <si>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</si>
  <si>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</si>
  <si>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</si>
  <si>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</si>
  <si>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</si>
  <si>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</si>
  <si>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</si>
  <si>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</si>
  <si>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</si>
  <si>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</si>
  <si>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</si>
  <si>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</si>
  <si>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</si>
  <si>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</si>
  <si>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</si>
  <si>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</si>
  <si>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</si>
  <si>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</si>
  <si>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</si>
  <si>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</si>
  <si>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</si>
  <si>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</si>
  <si>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</si>
  <si>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</si>
  <si>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</si>
  <si>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</si>
  <si>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</si>
  <si>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</si>
  <si>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</si>
  <si>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</si>
  <si>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</si>
  <si>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</si>
  <si>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</si>
  <si>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</si>
  <si>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</si>
  <si>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</si>
  <si>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</si>
  <si>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</si>
  <si>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</si>
  <si>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</si>
  <si>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</si>
  <si>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</si>
  <si>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</si>
  <si>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</si>
  <si>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</si>
  <si>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</si>
  <si>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</si>
  <si>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</si>
  <si>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</si>
  <si>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</si>
  <si>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</si>
  <si>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</si>
  <si>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</si>
  <si>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</si>
  <si>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</si>
  <si>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</si>
  <si>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</si>
  <si>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</si>
  <si>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</si>
  <si>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</si>
  <si>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</si>
  <si>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</si>
  <si>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</si>
  <si>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</si>
  <si>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</si>
  <si>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</si>
  <si>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</si>
  <si>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</si>
  <si>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</si>
  <si>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</si>
  <si>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</si>
  <si>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</si>
  <si>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</si>
  <si>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</si>
  <si>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</si>
  <si>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</si>
  <si>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</si>
  <si>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</si>
  <si>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</si>
  <si>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</si>
  <si>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</si>
  <si>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</si>
  <si>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</si>
  <si>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</si>
  <si>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</si>
  <si>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</si>
  <si>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</si>
  <si>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</si>
  <si>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</si>
  <si>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</si>
  <si>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</si>
  <si>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</si>
  <si>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</si>
  <si>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</si>
  <si>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</si>
  <si>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</si>
  <si>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</si>
  <si>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</si>
  <si>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</si>
  <si>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</si>
  <si>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</si>
  <si>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</si>
  <si>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</si>
  <si>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</si>
  <si>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</si>
  <si>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</si>
  <si>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</si>
  <si>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</si>
  <si>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</si>
  <si>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</si>
  <si>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</si>
  <si>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</si>
  <si>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</si>
  <si>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</si>
  <si>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</si>
  <si>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</si>
  <si>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</si>
  <si>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</si>
  <si>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</si>
  <si>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</si>
  <si>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</si>
  <si>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</si>
  <si>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</si>
  <si>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</si>
  <si>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</si>
  <si>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</si>
  <si>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</si>
  <si>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</si>
  <si>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</si>
  <si>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</si>
  <si>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</si>
  <si>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</si>
  <si>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</si>
  <si>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</si>
  <si>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</si>
  <si>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</si>
  <si>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</si>
  <si>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</si>
  <si>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</si>
  <si>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</si>
  <si>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</si>
  <si>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</si>
  <si>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</si>
  <si>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</si>
  <si>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</si>
  <si>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</si>
  <si>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</si>
  <si>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</si>
  <si>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</si>
  <si>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</si>
  <si>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</si>
  <si>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</si>
  <si>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</si>
  <si>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</si>
  <si>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</si>
  <si>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</si>
  <si>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</si>
  <si>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</si>
  <si>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</si>
  <si>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</si>
  <si>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</si>
  <si>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</si>
  <si>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</si>
  <si>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</si>
  <si>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</si>
  <si>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</si>
  <si>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</si>
  <si>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</si>
  <si>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</si>
  <si>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</si>
  <si>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</si>
  <si>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</si>
  <si>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</si>
  <si>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</si>
  <si>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</si>
  <si>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</si>
  <si>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</si>
  <si>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</si>
  <si>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</si>
  <si>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</si>
  <si>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</si>
  <si>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</si>
  <si>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</si>
  <si>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</si>
  <si>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</si>
  <si>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</si>
  <si>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</si>
  <si>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</si>
  <si>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</si>
  <si>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</si>
  <si>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</si>
  <si>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</si>
  <si>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</si>
  <si>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</si>
  <si>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</si>
  <si>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</si>
  <si>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</si>
  <si>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</si>
  <si>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</si>
  <si>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</si>
  <si>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</si>
  <si>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</si>
  <si>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</si>
  <si>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</si>
  <si>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</si>
  <si>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</si>
  <si>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</si>
  <si>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</si>
  <si>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</si>
  <si>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</si>
  <si>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</si>
  <si>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</si>
  <si>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</si>
  <si>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</si>
  <si>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</si>
  <si>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</si>
  <si>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</si>
  <si>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</si>
  <si>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</si>
  <si>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</si>
  <si>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</si>
  <si>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</si>
  <si>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</si>
  <si>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</si>
  <si>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</si>
  <si>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</si>
  <si>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</si>
  <si>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</si>
  <si>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</si>
  <si>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</si>
  <si>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</si>
  <si>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</si>
  <si>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</si>
  <si>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</si>
  <si>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</si>
  <si>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</si>
  <si>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</si>
  <si>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</si>
  <si>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</si>
  <si>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</si>
  <si>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</si>
  <si>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</si>
  <si>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</si>
  <si>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</si>
  <si>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</si>
  <si>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</si>
  <si>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</si>
  <si>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</si>
  <si>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</si>
  <si>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</si>
  <si>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</si>
  <si>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</si>
  <si>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</si>
  <si>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</si>
  <si>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</si>
  <si>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</si>
  <si>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</si>
  <si>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</si>
  <si>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</si>
  <si>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</si>
  <si>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</si>
  <si>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</si>
  <si>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</si>
  <si>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</si>
  <si>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</si>
  <si>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</si>
  <si>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</si>
  <si>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</si>
  <si>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</si>
  <si>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</si>
  <si>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</si>
  <si>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</si>
  <si>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</si>
  <si>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</si>
  <si>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</si>
  <si>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</si>
  <si>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</si>
  <si>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</si>
  <si>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</si>
  <si>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</si>
  <si>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</si>
  <si>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</si>
  <si>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</si>
  <si>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</si>
  <si>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</si>
  <si>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</si>
  <si>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</si>
  <si>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</si>
  <si>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</si>
  <si>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</si>
  <si>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</si>
  <si>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</si>
  <si>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</si>
  <si>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</si>
  <si>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</si>
  <si>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</si>
  <si>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</si>
  <si>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</si>
  <si>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</si>
  <si>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</si>
  <si>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</si>
  <si>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</si>
  <si>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</si>
  <si>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</si>
  <si>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</si>
  <si>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</si>
  <si>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</si>
  <si>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</si>
  <si>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</si>
  <si>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</si>
  <si>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</si>
  <si>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</si>
  <si>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</si>
  <si>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</si>
  <si>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</si>
  <si>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</si>
  <si>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</si>
  <si>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</si>
  <si>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</si>
  <si>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</si>
  <si>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</si>
  <si>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</si>
  <si>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</si>
  <si>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</si>
  <si>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</si>
  <si>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</si>
  <si>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</si>
  <si>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</si>
  <si>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</si>
  <si>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</si>
  <si>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</si>
  <si>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</si>
  <si>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</si>
  <si>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</si>
  <si>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</si>
  <si>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</si>
  <si>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</si>
  <si>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</si>
  <si>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</si>
  <si>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</si>
  <si>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</si>
  <si>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</si>
  <si>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</si>
  <si>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</si>
  <si>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</si>
  <si>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</si>
  <si>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</si>
  <si>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</si>
  <si>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</si>
  <si>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</si>
  <si>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</si>
  <si>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</si>
  <si>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</si>
  <si>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</si>
  <si>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</si>
  <si>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</si>
  <si>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</si>
  <si>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</si>
  <si>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</si>
  <si>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</si>
  <si>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</si>
  <si>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</si>
  <si>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</si>
  <si>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</si>
  <si>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</si>
  <si>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</si>
  <si>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</si>
  <si>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</si>
  <si>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</si>
  <si>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</si>
  <si>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</si>
  <si>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</si>
  <si>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</si>
  <si>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</si>
  <si>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</si>
  <si>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</si>
  <si>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</si>
  <si>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</si>
  <si>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</si>
  <si>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</si>
  <si>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</si>
  <si>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</si>
  <si>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</si>
  <si>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</si>
  <si>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</si>
  <si>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</si>
  <si>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</si>
  <si>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</si>
  <si>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</si>
  <si>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</si>
  <si>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</si>
  <si>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</si>
  <si>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</si>
  <si>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</si>
  <si>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</si>
  <si>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</si>
  <si>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</si>
  <si>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</si>
  <si>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</si>
  <si>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</si>
  <si>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</si>
  <si>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</si>
  <si>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</si>
  <si>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</si>
  <si>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</si>
  <si>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</si>
  <si>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</si>
  <si>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</si>
  <si>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</si>
  <si>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</si>
  <si>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</si>
  <si>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</si>
  <si>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</si>
  <si>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</si>
  <si>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</si>
  <si>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</si>
  <si>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</si>
  <si>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</si>
  <si>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</si>
  <si>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</si>
  <si>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</si>
  <si>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</si>
  <si>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</si>
  <si>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</si>
  <si>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</si>
  <si>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</si>
  <si>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</si>
  <si>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</si>
  <si>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</si>
  <si>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</si>
  <si>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</si>
  <si>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</si>
  <si>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</si>
  <si>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</si>
  <si>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</si>
  <si>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</si>
  <si>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</si>
  <si>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</si>
  <si>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</si>
  <si>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</si>
  <si>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</si>
  <si>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</si>
  <si>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</si>
  <si>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</si>
  <si>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</si>
  <si>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</si>
  <si>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</si>
  <si>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</si>
  <si>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</si>
  <si>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</si>
  <si>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</si>
  <si>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</si>
  <si>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</si>
  <si>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</si>
  <si>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</si>
  <si>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</si>
  <si>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</si>
  <si>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</si>
  <si>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</si>
  <si>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</si>
  <si>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</si>
  <si>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</si>
  <si>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</si>
  <si>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</si>
  <si>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</si>
  <si>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</si>
  <si>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</si>
  <si>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</si>
  <si>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</si>
  <si>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</si>
  <si>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</si>
  <si>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</si>
  <si>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</si>
  <si>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</si>
  <si>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</si>
  <si>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</si>
  <si>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</si>
  <si>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</si>
  <si>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</si>
  <si>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</si>
  <si>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</si>
  <si>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</si>
  <si>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</si>
  <si>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</si>
  <si>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</si>
  <si>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</si>
  <si>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</si>
  <si>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</si>
  <si>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</si>
  <si>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</si>
  <si>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</si>
  <si>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</si>
  <si>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</si>
  <si>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</si>
  <si>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</si>
  <si>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</si>
  <si>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</si>
  <si>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</si>
  <si>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</si>
  <si>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</si>
  <si>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</si>
  <si>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</si>
  <si>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</si>
  <si>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</si>
  <si>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</si>
  <si>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</si>
  <si>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</si>
  <si>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</si>
  <si>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</si>
  <si>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</si>
  <si>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</si>
  <si>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</si>
  <si>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</si>
  <si>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</si>
  <si>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</si>
  <si>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</si>
  <si>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</si>
  <si>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</si>
  <si>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</si>
  <si>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</si>
  <si>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</si>
  <si>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</si>
  <si>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</si>
  <si>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</si>
  <si>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</si>
  <si>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</si>
  <si>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</si>
  <si>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</si>
  <si>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</si>
  <si>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</si>
  <si>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</si>
  <si>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</si>
  <si>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</si>
  <si>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</si>
  <si>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</si>
  <si>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</si>
  <si>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</si>
  <si>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</si>
  <si>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</si>
  <si>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</si>
  <si>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</si>
  <si>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</si>
  <si>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</si>
  <si>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</si>
  <si>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</si>
  <si>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</si>
  <si>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</si>
  <si>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</si>
  <si>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</si>
  <si>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</si>
  <si>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</si>
  <si>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</si>
  <si>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</si>
  <si>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</si>
  <si>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</si>
  <si>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</si>
  <si>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</si>
  <si>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</si>
  <si>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</si>
  <si>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</si>
  <si>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</si>
  <si>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</si>
  <si>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</si>
  <si>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</si>
  <si>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</si>
  <si>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</si>
  <si>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</si>
  <si>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</si>
  <si>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</si>
  <si>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</si>
  <si>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</si>
  <si>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</si>
  <si>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</si>
  <si>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</si>
  <si>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</si>
  <si>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</si>
  <si>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</si>
  <si>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</si>
  <si>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</si>
  <si>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</si>
  <si>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</si>
  <si>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</si>
  <si>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</si>
  <si>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</si>
  <si>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</si>
  <si>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</si>
  <si>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</si>
  <si>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</si>
  <si>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</si>
  <si>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</si>
  <si>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</si>
  <si>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</si>
  <si>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</si>
  <si>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</si>
  <si>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</si>
  <si>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</si>
  <si>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</si>
  <si>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</si>
  <si>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</si>
  <si>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</si>
  <si>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</si>
  <si>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</si>
  <si>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</si>
  <si>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</si>
  <si>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</si>
  <si>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</si>
  <si>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</si>
  <si>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</si>
  <si>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</si>
  <si>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</si>
  <si>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</si>
  <si>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</si>
  <si>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</si>
  <si>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</si>
  <si>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</si>
  <si>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</si>
  <si>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</si>
  <si>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</si>
  <si>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</si>
  <si>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</si>
  <si>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</si>
  <si>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</si>
  <si>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</si>
  <si>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</si>
  <si>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</si>
  <si>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</si>
  <si>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</si>
  <si>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</si>
  <si>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</si>
  <si>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</si>
  <si>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</si>
  <si>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</si>
  <si>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</si>
  <si>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</si>
  <si>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</si>
  <si>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</si>
  <si>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</si>
  <si>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</si>
  <si>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</si>
  <si>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</si>
  <si>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</si>
  <si>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</si>
  <si>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</si>
  <si>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</si>
  <si>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</si>
  <si>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</si>
  <si>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</si>
  <si>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</si>
  <si>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</si>
  <si>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</si>
  <si>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</si>
  <si>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</si>
  <si>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</si>
  <si>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</si>
  <si>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</si>
  <si>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</si>
  <si>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</si>
  <si>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</si>
  <si>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</si>
  <si>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</si>
  <si>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</si>
  <si>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</si>
  <si>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</si>
  <si>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</si>
  <si>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</si>
  <si>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</si>
  <si>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</si>
  <si>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</si>
  <si>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</si>
  <si>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</si>
  <si>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</si>
  <si>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</si>
  <si>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</si>
  <si>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</si>
  <si>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</si>
  <si>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</si>
  <si>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</si>
  <si>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</si>
  <si>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</si>
  <si>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</si>
  <si>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</si>
  <si>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</si>
  <si>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</si>
  <si>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</si>
  <si>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</si>
  <si>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</si>
  <si>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</si>
  <si>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</si>
  <si>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</si>
  <si>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</si>
  <si>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</si>
  <si>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</si>
  <si>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</si>
  <si>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</si>
  <si>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</si>
  <si>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</si>
  <si>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</si>
  <si>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</si>
  <si>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</si>
  <si>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</si>
  <si>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</si>
  <si>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</si>
  <si>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</si>
  <si>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</si>
  <si>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</si>
  <si>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</si>
  <si>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</si>
  <si>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</si>
  <si>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</si>
  <si>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</si>
  <si>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</si>
  <si>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</si>
  <si>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</si>
  <si>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</si>
  <si>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</si>
  <si>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</si>
  <si>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</si>
  <si>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</si>
  <si>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</si>
  <si>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</si>
  <si>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</si>
  <si>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</si>
  <si>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</si>
  <si>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</si>
  <si>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</si>
  <si>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</si>
  <si>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</si>
  <si>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</si>
  <si>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</si>
  <si>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</si>
  <si>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</si>
  <si>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</si>
  <si>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</si>
  <si>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</si>
  <si>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</si>
  <si>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</si>
  <si>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</si>
  <si>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</si>
  <si>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</si>
  <si>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</si>
  <si>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</si>
  <si>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</si>
  <si>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</si>
  <si>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</si>
  <si>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</si>
  <si>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</si>
  <si>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</si>
  <si>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</si>
  <si>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</si>
  <si>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</si>
  <si>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</si>
  <si>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</si>
  <si>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</si>
  <si>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</si>
  <si>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</si>
  <si>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</si>
  <si>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</si>
  <si>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</si>
  <si>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</si>
  <si>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</si>
  <si>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</si>
  <si>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</si>
  <si>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</si>
  <si>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</si>
  <si>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</si>
  <si>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</si>
  <si>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</si>
  <si>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</si>
  <si>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</si>
  <si>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</si>
  <si>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</si>
  <si>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</si>
  <si>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</si>
  <si>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</si>
  <si>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</si>
  <si>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</si>
  <si>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</si>
  <si>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</si>
  <si>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</si>
  <si>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</si>
  <si>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</si>
  <si>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</si>
  <si>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</si>
  <si>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</si>
  <si>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</si>
  <si>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</si>
  <si>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</si>
  <si>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</si>
  <si>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</si>
  <si>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</si>
  <si>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</si>
  <si>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</si>
  <si>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</si>
  <si>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</si>
  <si>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</si>
  <si>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</si>
  <si>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</si>
  <si>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</si>
  <si>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</si>
  <si>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</si>
  <si>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</si>
  <si>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</si>
  <si>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</si>
  <si>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</si>
  <si>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</si>
  <si>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</si>
  <si>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</si>
  <si>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</si>
  <si>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</si>
  <si>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</si>
  <si>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</si>
  <si>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</si>
  <si>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</si>
  <si>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</si>
  <si>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</si>
  <si>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</si>
  <si>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</si>
  <si>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</si>
  <si>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</si>
  <si>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</si>
  <si>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</si>
  <si>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</si>
  <si>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</si>
  <si>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</si>
  <si>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</si>
  <si>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</si>
  <si>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</si>
  <si>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</si>
  <si>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</si>
  <si>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</si>
  <si>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</si>
  <si>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</si>
  <si>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</si>
  <si>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</si>
  <si>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</si>
  <si>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</si>
  <si>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</si>
  <si>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</si>
  <si>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</si>
  <si>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</si>
  <si>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</si>
  <si>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</si>
  <si>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</si>
  <si>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</si>
  <si>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</si>
  <si>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</si>
  <si>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</si>
  <si>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</si>
  <si>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</si>
  <si>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</si>
  <si>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</si>
  <si>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</si>
  <si>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</si>
  <si>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</si>
  <si>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</si>
  <si>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</si>
  <si>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</si>
  <si>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</si>
  <si>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</si>
  <si>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</si>
  <si>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</si>
  <si>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</si>
  <si>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</si>
  <si>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</si>
  <si>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</si>
  <si>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</si>
  <si>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</si>
  <si>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</si>
  <si>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</si>
  <si>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</si>
  <si>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</si>
  <si>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</si>
  <si>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</si>
  <si>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</si>
  <si>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</si>
  <si>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</si>
  <si>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</si>
  <si>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</si>
  <si>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</si>
  <si>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</si>
  <si>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</si>
  <si>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</si>
  <si>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</si>
  <si>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</si>
  <si>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</si>
  <si>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</si>
  <si>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</si>
  <si>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</si>
  <si>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</si>
  <si>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</si>
  <si>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</si>
  <si>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</si>
  <si>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</si>
  <si>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</si>
  <si>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</si>
  <si>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</si>
  <si>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</si>
  <si>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</si>
  <si>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</si>
  <si>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</si>
  <si>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</si>
  <si>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</si>
  <si>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</si>
  <si>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</si>
  <si>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</si>
  <si>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</si>
  <si>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</si>
  <si>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</si>
  <si>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</si>
  <si>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</si>
  <si>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</si>
  <si>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</si>
  <si>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</si>
  <si>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</si>
  <si>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</si>
  <si>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</si>
  <si>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</si>
  <si>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</si>
  <si>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</si>
  <si>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</si>
  <si>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</si>
  <si>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</si>
  <si>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</si>
  <si>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</si>
  <si>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</si>
  <si>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</si>
  <si>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</si>
  <si>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</si>
  <si>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</si>
  <si>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</si>
  <si>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</si>
  <si>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</si>
  <si>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</si>
  <si>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</si>
  <si>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</si>
  <si>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</si>
  <si>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</si>
  <si>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</si>
  <si>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</si>
  <si>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</si>
  <si>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</si>
  <si>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</si>
  <si>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</si>
  <si>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</si>
  <si>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</si>
  <si>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</si>
  <si>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</si>
  <si>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</si>
  <si>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</si>
  <si>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</si>
  <si>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</si>
  <si>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</si>
  <si>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</si>
  <si>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</si>
  <si>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</si>
  <si>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</si>
  <si>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</si>
  <si>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</si>
  <si>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</si>
  <si>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</si>
  <si>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</si>
  <si>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</si>
  <si>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</si>
  <si>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</si>
  <si>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</si>
  <si>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</si>
  <si>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</si>
  <si>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</si>
  <si>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</si>
  <si>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</si>
  <si>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</si>
  <si>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</si>
  <si>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</si>
  <si>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</si>
  <si>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</si>
  <si>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</si>
  <si>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</si>
  <si>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</si>
  <si>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</si>
  <si>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</si>
  <si>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</si>
  <si>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</si>
  <si>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</si>
  <si>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</si>
  <si>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</si>
  <si>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</si>
  <si>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</si>
  <si>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</si>
  <si>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</si>
  <si>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</si>
  <si>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</si>
  <si>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</si>
  <si>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</si>
  <si>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</si>
  <si>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</si>
  <si>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</si>
  <si>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</si>
  <si>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</si>
  <si>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</si>
  <si>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</si>
  <si>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</si>
  <si>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</si>
  <si>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</si>
  <si>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</si>
  <si>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</si>
  <si>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</si>
  <si>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</si>
  <si>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</si>
  <si>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</si>
  <si>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</si>
  <si>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</si>
  <si>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</si>
  <si>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</si>
  <si>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</si>
  <si>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</si>
  <si>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</si>
  <si>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</si>
  <si>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</si>
  <si>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</si>
  <si>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</si>
  <si>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</si>
  <si>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</si>
  <si>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</si>
  <si>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</si>
  <si>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</si>
  <si>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</si>
  <si>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</si>
  <si>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</si>
  <si>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</si>
  <si>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</si>
  <si>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</si>
  <si>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</si>
  <si>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</si>
  <si>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</si>
  <si>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</si>
  <si>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</si>
  <si>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</si>
  <si>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</si>
  <si>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</si>
  <si>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</si>
  <si>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</si>
  <si>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</si>
  <si>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</si>
  <si>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</si>
  <si>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</si>
  <si>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</si>
  <si>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</si>
  <si>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</si>
  <si>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</si>
  <si>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</si>
  <si>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</si>
  <si>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</si>
  <si>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</si>
  <si>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</si>
  <si>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</si>
  <si>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</si>
  <si>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</si>
  <si>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</si>
  <si>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</si>
  <si>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</si>
  <si>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</si>
  <si>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</si>
  <si>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</si>
  <si>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</si>
  <si>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</si>
  <si>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</si>
  <si>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</si>
  <si>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</si>
  <si>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</si>
  <si>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</si>
  <si>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</si>
  <si>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</si>
  <si>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</si>
  <si>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</si>
  <si>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</si>
  <si>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</si>
  <si>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</si>
  <si>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</si>
  <si>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</si>
  <si>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</si>
  <si>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</si>
  <si>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</si>
  <si>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</si>
  <si>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</si>
  <si>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</si>
  <si>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</si>
  <si>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</si>
  <si>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</si>
  <si>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</si>
  <si>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</si>
  <si>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</si>
  <si>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</si>
  <si>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</si>
  <si>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</si>
  <si>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</si>
  <si>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</si>
  <si>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</si>
  <si>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</si>
  <si>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</si>
  <si>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</si>
  <si>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</si>
  <si>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</si>
  <si>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</si>
  <si>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</si>
  <si>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</si>
  <si>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</si>
  <si>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</si>
  <si>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</si>
  <si>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</si>
  <si>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</si>
  <si>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</si>
  <si>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</si>
  <si>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</si>
  <si>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</si>
  <si>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</si>
  <si>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</si>
  <si>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</si>
  <si>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</si>
  <si>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</si>
  <si>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</si>
  <si>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</si>
  <si>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</si>
  <si>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</si>
  <si>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</si>
  <si>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</si>
  <si>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</si>
  <si>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</si>
  <si>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</si>
  <si>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</si>
  <si>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</si>
  <si>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</si>
  <si>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</si>
  <si>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</si>
  <si>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</si>
  <si>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</si>
  <si>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</si>
  <si>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</si>
  <si>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</si>
  <si>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</si>
  <si>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</si>
  <si>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</si>
  <si>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</si>
  <si>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</si>
  <si>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</si>
  <si>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</si>
  <si>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</si>
  <si>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</si>
  <si>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</si>
  <si>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</si>
  <si>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</si>
  <si>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</si>
  <si>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</si>
  <si>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</si>
  <si>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</si>
  <si>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</si>
  <si>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</si>
  <si>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</si>
  <si>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</si>
  <si>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</si>
  <si>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</si>
  <si>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</si>
  <si>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</si>
  <si>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</si>
  <si>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</si>
  <si>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</si>
  <si>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</si>
  <si>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</si>
  <si>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</si>
  <si>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</si>
  <si>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</si>
  <si>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</si>
  <si>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</si>
  <si>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</si>
  <si>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</si>
  <si>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</si>
  <si>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</si>
  <si>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</si>
  <si>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</si>
  <si>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</si>
  <si>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</si>
  <si>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</si>
  <si>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</si>
  <si>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</si>
  <si>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</si>
  <si>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</si>
  <si>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</si>
  <si>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</si>
  <si>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</si>
  <si>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</si>
  <si>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</si>
  <si>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</si>
  <si>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</si>
  <si>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</si>
  <si>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</si>
  <si>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</si>
  <si>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</si>
  <si>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</si>
  <si>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</si>
  <si>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</si>
  <si>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</si>
  <si>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</si>
  <si>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</si>
  <si>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</si>
  <si>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</si>
  <si>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</si>
  <si>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</si>
  <si>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</si>
  <si>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</si>
  <si>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</si>
  <si>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</si>
  <si>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</si>
  <si>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</si>
  <si>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</si>
  <si>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</si>
  <si>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</si>
  <si>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</si>
  <si>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</si>
  <si>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</si>
  <si>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</si>
  <si>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</si>
  <si>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</si>
  <si>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</si>
  <si>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</si>
  <si>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</si>
  <si>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</si>
  <si>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</si>
  <si>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</si>
  <si>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</si>
  <si>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</si>
  <si>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</si>
  <si>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</si>
  <si>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</si>
  <si>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</si>
  <si>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</si>
  <si>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</si>
  <si>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</si>
  <si>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</si>
  <si>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</si>
  <si>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</si>
  <si>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</si>
  <si>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</si>
  <si>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</si>
  <si>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</si>
  <si>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</si>
  <si>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</si>
  <si>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</si>
  <si>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</si>
  <si>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</si>
  <si>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</si>
  <si>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</si>
  <si>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</si>
  <si>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</si>
  <si>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</si>
  <si>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</si>
  <si>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</si>
  <si>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</si>
  <si>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</si>
  <si>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</si>
  <si>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</si>
  <si>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</si>
  <si>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</si>
  <si>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</si>
  <si>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</si>
  <si>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</si>
  <si>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</si>
  <si>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</si>
  <si>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</si>
  <si>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</si>
  <si>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</si>
  <si>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</si>
  <si>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</si>
  <si>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</si>
  <si>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</si>
  <si>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</si>
  <si>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</si>
  <si>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</si>
  <si>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</si>
  <si>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</si>
  <si>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</si>
  <si>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</si>
  <si>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</si>
  <si>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</si>
  <si>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</si>
  <si>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</si>
  <si>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</si>
  <si>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</si>
  <si>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</si>
  <si>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</si>
  <si>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</si>
  <si>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</si>
  <si>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</si>
  <si>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</si>
  <si>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</si>
  <si>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</si>
  <si>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</si>
  <si>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</si>
  <si>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</si>
  <si>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</si>
  <si>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</si>
  <si>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</si>
  <si>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</si>
  <si>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</si>
  <si>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</si>
  <si>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</si>
  <si>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</si>
  <si>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</si>
  <si>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</si>
  <si>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</si>
  <si>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</si>
  <si>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</si>
  <si>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</si>
  <si>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</si>
  <si>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</si>
  <si>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</si>
  <si>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</si>
  <si>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</si>
  <si>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</si>
  <si>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</si>
  <si>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</si>
  <si>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</si>
  <si>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</si>
  <si>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</si>
  <si>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</si>
  <si>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</si>
  <si>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</si>
  <si>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</si>
  <si>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</si>
  <si>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</si>
  <si>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</si>
  <si>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</si>
  <si>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</si>
  <si>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</si>
  <si>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</si>
  <si>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</si>
  <si>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</si>
  <si>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</si>
  <si>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</si>
  <si>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</si>
  <si>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</si>
  <si>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</si>
  <si>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</si>
  <si>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</si>
  <si>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</si>
  <si>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</si>
  <si>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</si>
  <si>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</si>
  <si>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</si>
  <si>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</si>
  <si>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</si>
  <si>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</si>
  <si>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</si>
  <si>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</si>
  <si>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</si>
  <si>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</si>
  <si>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</si>
  <si>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</si>
  <si>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</si>
  <si>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</si>
  <si>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</si>
  <si>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</si>
  <si>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</si>
  <si>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</si>
  <si>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</si>
  <si>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</si>
  <si>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</si>
  <si>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</si>
  <si>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</si>
  <si>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</si>
  <si>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</si>
  <si>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</si>
  <si>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</si>
  <si>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</si>
  <si>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</si>
  <si>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</si>
  <si>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</si>
  <si>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</si>
  <si>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</si>
  <si>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</si>
  <si>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</si>
  <si>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</si>
  <si>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</si>
  <si>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</si>
  <si>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</si>
  <si>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</si>
  <si>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</si>
  <si>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</si>
  <si>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</si>
  <si>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</si>
  <si>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</si>
  <si>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</si>
  <si>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</si>
  <si>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</si>
  <si>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</si>
  <si>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</si>
  <si>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</si>
  <si>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</si>
  <si>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</si>
  <si>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</si>
  <si>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</si>
  <si>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</si>
  <si>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</si>
  <si>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</si>
  <si>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</si>
  <si>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</si>
  <si>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</si>
  <si>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</si>
  <si>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</si>
  <si>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</si>
  <si>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</si>
  <si>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</si>
  <si>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</si>
  <si>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</si>
  <si>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</si>
  <si>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</si>
  <si>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</si>
  <si>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</si>
  <si>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</si>
  <si>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</si>
  <si>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</si>
  <si>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</si>
  <si>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</si>
  <si>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</si>
  <si>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</si>
  <si>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</si>
  <si>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</si>
  <si>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</si>
  <si>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</si>
  <si>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</si>
  <si>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</si>
  <si>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</si>
  <si>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</si>
  <si>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</si>
  <si>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</si>
  <si>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</si>
  <si>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</si>
  <si>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</si>
  <si>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</si>
  <si>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</si>
  <si>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</si>
  <si>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</si>
  <si>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</si>
  <si>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</si>
  <si>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</si>
  <si>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</si>
  <si>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</si>
  <si>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</si>
  <si>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</si>
  <si>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</si>
  <si>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</si>
  <si>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</si>
  <si>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</si>
  <si>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</si>
  <si>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</si>
  <si>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</si>
  <si>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</si>
  <si>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</si>
  <si>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</si>
  <si>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</si>
  <si>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</si>
  <si>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</si>
  <si>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</si>
  <si>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</si>
  <si>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</si>
  <si>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</si>
  <si>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</si>
  <si>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</si>
  <si>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</si>
  <si>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</si>
  <si>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</si>
  <si>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</si>
  <si>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</si>
  <si>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</si>
  <si>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</si>
  <si>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</si>
  <si>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</si>
  <si>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</si>
  <si>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</si>
  <si>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</si>
  <si>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</si>
  <si>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</si>
  <si>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</si>
  <si>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</si>
  <si>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</si>
  <si>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</si>
  <si>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</si>
  <si>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</si>
  <si>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</si>
  <si>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</si>
  <si>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</si>
  <si>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</si>
  <si>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</si>
  <si>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</si>
  <si>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</si>
  <si>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</si>
  <si>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</si>
  <si>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</si>
  <si>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</si>
  <si>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</si>
  <si>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</si>
  <si>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</si>
  <si>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</si>
  <si>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</si>
  <si>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</si>
  <si>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</si>
  <si>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</si>
  <si>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</si>
  <si>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</si>
  <si>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</si>
  <si>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</si>
  <si>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</si>
  <si>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</si>
  <si>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</si>
  <si>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</si>
  <si>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</si>
  <si>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</si>
  <si>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</si>
  <si>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</si>
  <si>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</si>
  <si>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</si>
  <si>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</si>
  <si>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</si>
  <si>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</si>
  <si>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</si>
  <si>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</si>
  <si>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</si>
  <si>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</si>
  <si>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</si>
  <si>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</si>
  <si>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</si>
  <si>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</si>
  <si>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</si>
  <si>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</si>
  <si>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</si>
  <si>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</si>
  <si>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</si>
  <si>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</si>
  <si>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</si>
  <si>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</si>
  <si>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</si>
  <si>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</si>
  <si>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</si>
  <si>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</si>
  <si>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</si>
  <si>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</si>
  <si>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</si>
  <si>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</si>
  <si>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</si>
  <si>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</si>
  <si>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</si>
  <si>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</si>
  <si>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</si>
  <si>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</si>
  <si>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</si>
  <si>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</si>
  <si>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</si>
  <si>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</si>
  <si>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</si>
  <si>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</si>
  <si>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</si>
  <si>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</si>
  <si>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</si>
  <si>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</si>
  <si>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</si>
  <si>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</si>
  <si>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</si>
  <si>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</si>
  <si>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</si>
  <si>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</si>
  <si>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</si>
  <si>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</si>
  <si>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</si>
  <si>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</si>
  <si>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</si>
  <si>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</si>
  <si>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</si>
  <si>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</si>
  <si>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</si>
  <si>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</si>
  <si>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</si>
  <si>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</si>
  <si>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</si>
  <si>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</si>
  <si>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</si>
  <si>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</si>
  <si>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</si>
  <si>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</si>
  <si>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</si>
  <si>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</si>
  <si>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</si>
  <si>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</si>
  <si>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</si>
  <si>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</si>
  <si>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</si>
  <si>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</si>
  <si>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</si>
  <si>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</si>
  <si>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</si>
  <si>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</si>
  <si>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</si>
  <si>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</si>
  <si>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</si>
  <si>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</si>
  <si>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</si>
  <si>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</si>
  <si>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</si>
  <si>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</si>
  <si>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</si>
  <si>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</si>
  <si>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</si>
  <si>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</si>
  <si>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</si>
  <si>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</si>
  <si>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</si>
  <si>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</si>
  <si>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</si>
  <si>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</si>
  <si>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</si>
  <si>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</si>
  <si>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</si>
  <si>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</si>
  <si>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</si>
  <si>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</si>
  <si>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</si>
  <si>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</si>
  <si>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</si>
  <si>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</si>
  <si>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</si>
  <si>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</si>
  <si>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</si>
  <si>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</si>
  <si>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</si>
  <si>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</si>
  <si>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</si>
  <si>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</si>
  <si>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</si>
  <si>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</si>
  <si>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</si>
  <si>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</si>
  <si>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</si>
  <si>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</si>
  <si>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</si>
  <si>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</si>
  <si>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</si>
  <si>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</si>
  <si>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</si>
  <si>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</si>
  <si>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</si>
  <si>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</si>
  <si>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</si>
  <si>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</si>
  <si>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</si>
  <si>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</si>
  <si>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</si>
  <si>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</si>
  <si>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</si>
  <si>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</si>
  <si>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</si>
  <si>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</si>
  <si>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</si>
  <si>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</si>
  <si>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</si>
  <si>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</si>
  <si>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</si>
  <si>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</si>
  <si>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</si>
  <si>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</si>
  <si>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</si>
  <si>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</si>
  <si>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</si>
  <si>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</si>
  <si>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</si>
  <si>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</si>
  <si>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</si>
  <si>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</si>
  <si>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</si>
  <si>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</si>
  <si>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</si>
  <si>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</si>
  <si>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</si>
  <si>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</si>
  <si>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</si>
  <si>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</si>
  <si>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</si>
  <si>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</si>
  <si>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</si>
  <si>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</si>
  <si>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</si>
  <si>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</si>
  <si>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</si>
  <si>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</si>
  <si>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</si>
  <si>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</si>
  <si>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</si>
  <si>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</si>
  <si>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</si>
  <si>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</si>
  <si>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</si>
  <si>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</si>
  <si>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</si>
  <si>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</si>
  <si>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</si>
  <si>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</si>
  <si>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</si>
  <si>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</si>
  <si>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</si>
  <si>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</si>
  <si>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</si>
  <si>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</si>
  <si>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</si>
  <si>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</si>
  <si>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</si>
  <si>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</si>
  <si>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</si>
  <si>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</si>
  <si>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</si>
  <si>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</si>
  <si>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</si>
  <si>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</si>
  <si>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</si>
  <si>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</si>
  <si>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</si>
  <si>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</si>
  <si>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</si>
  <si>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</si>
  <si>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</si>
  <si>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</si>
  <si>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</si>
  <si>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</si>
  <si>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</si>
  <si>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</si>
  <si>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</si>
  <si>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</si>
  <si>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</si>
  <si>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</si>
  <si>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</si>
  <si>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</si>
  <si>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</si>
  <si>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</si>
  <si>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</si>
  <si>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</si>
  <si>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</si>
  <si>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</si>
  <si>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</si>
  <si>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</si>
  <si>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</si>
  <si>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</si>
  <si>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</si>
  <si>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</si>
  <si>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</si>
  <si>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</si>
  <si>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</si>
  <si>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</si>
  <si>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</si>
  <si>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</si>
  <si>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</si>
  <si>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</si>
  <si>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</si>
  <si>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</si>
  <si>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</si>
  <si>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</si>
  <si>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</si>
  <si>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</si>
  <si>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</si>
  <si>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</si>
  <si>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</si>
  <si>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</si>
  <si>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</si>
  <si>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</si>
  <si>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</si>
  <si>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</si>
  <si>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</si>
  <si>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</si>
  <si>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</si>
  <si>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</si>
  <si>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</si>
  <si>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</si>
  <si>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</si>
  <si>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</si>
  <si>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</si>
  <si>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</si>
  <si>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</si>
  <si>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</si>
  <si>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</si>
  <si>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</si>
  <si>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</si>
  <si>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</si>
  <si>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</si>
  <si>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</si>
  <si>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</si>
  <si>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</si>
  <si>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</si>
  <si>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</si>
  <si>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</si>
  <si>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</si>
  <si>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</si>
  <si>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</si>
  <si>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</si>
  <si>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</si>
  <si>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</si>
  <si>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</si>
  <si>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</si>
  <si>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</si>
  <si>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</si>
  <si>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</si>
  <si>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</si>
  <si>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</si>
  <si>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</si>
  <si>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</si>
  <si>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</si>
  <si>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</si>
  <si>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</si>
  <si>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</si>
  <si>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</si>
  <si>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</si>
  <si>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</si>
  <si>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</si>
  <si>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</si>
  <si>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</si>
  <si>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</si>
  <si>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</si>
  <si>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</si>
  <si>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</si>
  <si>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</si>
  <si>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</si>
  <si>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</si>
  <si>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</si>
  <si>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</si>
  <si>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</si>
  <si>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</si>
  <si>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</si>
  <si>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</si>
  <si>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</si>
  <si>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</si>
  <si>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</si>
  <si>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</si>
  <si>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</si>
  <si>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</si>
  <si>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</si>
  <si>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</si>
  <si>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</si>
  <si>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</si>
  <si>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</si>
  <si>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</si>
  <si>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</si>
  <si>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</si>
  <si>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</si>
  <si>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</si>
  <si>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</si>
  <si>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</si>
  <si>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</si>
  <si>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</si>
  <si>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</si>
  <si>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</si>
  <si>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</si>
  <si>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</si>
  <si>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</si>
  <si>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</si>
  <si>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</si>
  <si>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</si>
  <si>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</si>
  <si>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</si>
  <si>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</si>
  <si>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</si>
  <si>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</si>
  <si>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</si>
  <si>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</si>
  <si>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</si>
  <si>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</si>
  <si>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</si>
  <si>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</si>
  <si>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</si>
  <si>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</si>
  <si>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</si>
  <si>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</si>
  <si>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</si>
  <si>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</si>
  <si>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</si>
  <si>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</si>
  <si>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</si>
  <si>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</si>
  <si>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</si>
  <si>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</si>
  <si>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</si>
  <si>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</si>
  <si>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</si>
  <si>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</si>
  <si>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</si>
  <si>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</si>
  <si>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</si>
  <si>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</si>
  <si>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</si>
  <si>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</si>
  <si>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</si>
  <si>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</si>
  <si>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</si>
  <si>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</si>
  <si>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</si>
  <si>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</si>
  <si>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</si>
  <si>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</si>
  <si>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</si>
  <si>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</si>
  <si>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</si>
  <si>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</si>
  <si>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</si>
  <si>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</si>
  <si>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</si>
  <si>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</si>
  <si>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</si>
  <si>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</si>
  <si>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</si>
  <si>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</si>
  <si>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</si>
  <si>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</si>
  <si>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</si>
  <si>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</si>
  <si>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</si>
  <si>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</si>
  <si>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</si>
  <si>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</si>
  <si>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</si>
  <si>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</si>
  <si>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</si>
  <si>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</si>
  <si>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</si>
  <si>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</si>
  <si>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</si>
  <si>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</si>
  <si>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</si>
  <si>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</si>
  <si>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</si>
  <si>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</si>
  <si>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</si>
  <si>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</si>
  <si>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</si>
  <si>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</si>
  <si>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</si>
  <si>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</si>
  <si>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</si>
  <si>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</si>
  <si>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</si>
  <si>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</si>
  <si>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</si>
  <si>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</si>
  <si>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</si>
  <si>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</si>
  <si>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</si>
  <si>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</si>
  <si>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</si>
  <si>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</si>
  <si>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</si>
  <si>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</si>
  <si>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</si>
  <si>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</si>
  <si>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</si>
  <si>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</si>
  <si>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</si>
  <si>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</si>
  <si>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</si>
  <si>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</si>
  <si>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</si>
  <si>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</si>
  <si>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</si>
  <si>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</si>
  <si>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</si>
  <si>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</si>
  <si>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</si>
  <si>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</si>
  <si>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</si>
  <si>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</si>
  <si>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</si>
  <si>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</si>
  <si>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</si>
  <si>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</si>
  <si>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</si>
  <si>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</si>
  <si>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</si>
  <si>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</si>
  <si>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</si>
  <si>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</si>
  <si>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</si>
  <si>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</si>
  <si>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</si>
  <si>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</si>
  <si>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</si>
  <si>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</si>
  <si>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</si>
  <si>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</si>
  <si>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</si>
  <si>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</si>
  <si>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</si>
  <si>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</si>
  <si>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</si>
  <si>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</si>
  <si>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</si>
  <si>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</si>
  <si>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</si>
  <si>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</si>
  <si>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</si>
  <si>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</si>
  <si>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</si>
  <si>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</si>
  <si>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</si>
  <si>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</si>
  <si>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</si>
  <si>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</si>
  <si>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</si>
  <si>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</si>
  <si>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</si>
  <si>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</si>
  <si>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</si>
  <si>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</si>
  <si>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</si>
  <si>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</si>
  <si>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</si>
  <si>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</si>
  <si>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</si>
  <si>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</si>
  <si>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</si>
  <si>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</si>
  <si>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</si>
  <si>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</si>
  <si>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</si>
  <si>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</si>
  <si>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</si>
  <si>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</si>
  <si>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</si>
  <si>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</si>
  <si>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</si>
  <si>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</si>
  <si>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</si>
  <si>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</si>
  <si>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</si>
  <si>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</si>
  <si>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</si>
  <si>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</si>
  <si>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</si>
  <si>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</si>
  <si>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</si>
  <si>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</si>
  <si>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</si>
  <si>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</si>
  <si>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</si>
  <si>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</si>
  <si>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</si>
  <si>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</si>
  <si>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</si>
  <si>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</si>
  <si>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</si>
  <si>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</si>
  <si>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</si>
  <si>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</si>
  <si>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</si>
  <si>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</si>
  <si>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</si>
  <si>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</si>
  <si>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</si>
  <si>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</si>
  <si>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</si>
  <si>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</si>
  <si>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</si>
  <si>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</si>
  <si>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</si>
  <si>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</si>
  <si>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</si>
  <si>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</si>
  <si>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</si>
  <si>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</si>
  <si>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</si>
  <si>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</si>
  <si>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</si>
  <si>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</si>
  <si>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</si>
  <si>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</si>
  <si>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</si>
  <si>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</si>
  <si>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</si>
  <si>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</si>
  <si>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</si>
  <si>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</si>
  <si>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</si>
  <si>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</si>
  <si>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</si>
  <si>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</si>
  <si>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</si>
  <si>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</si>
  <si>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</si>
  <si>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</si>
  <si>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</si>
  <si>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</si>
  <si>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</si>
  <si>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</si>
  <si>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</si>
  <si>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</si>
  <si>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</si>
  <si>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</si>
  <si>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</si>
  <si>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</si>
  <si>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</si>
  <si>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</si>
  <si>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</si>
  <si>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</si>
  <si>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</si>
  <si>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</si>
  <si>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</si>
  <si>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</si>
  <si>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</si>
  <si>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</si>
  <si>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</si>
  <si>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</si>
  <si>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</si>
  <si>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</si>
  <si>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</si>
  <si>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</si>
  <si>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</si>
  <si>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</si>
  <si>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</si>
  <si>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</si>
  <si>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</si>
  <si>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</si>
  <si>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</si>
  <si>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</si>
  <si>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</si>
  <si>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</si>
  <si>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</si>
  <si>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</si>
  <si>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</si>
  <si>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</si>
  <si>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</si>
  <si>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</si>
  <si>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</si>
  <si>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</si>
  <si>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</si>
  <si>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</si>
  <si>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</si>
  <si>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</si>
  <si>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</si>
  <si>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</si>
  <si>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</si>
  <si>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</si>
  <si>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</si>
  <si>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</si>
  <si>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</si>
  <si>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</si>
  <si>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</si>
  <si>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</si>
  <si>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</si>
  <si>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</si>
  <si>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</si>
  <si>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</si>
  <si>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</si>
  <si>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</si>
  <si>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</si>
  <si>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</si>
  <si>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</si>
  <si>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</si>
  <si>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</si>
  <si>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</si>
  <si>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</si>
  <si>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</si>
  <si>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</si>
  <si>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</si>
  <si>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</si>
  <si>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</si>
  <si>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</si>
  <si>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</si>
  <si>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</si>
  <si>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</si>
  <si>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</si>
  <si>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</si>
  <si>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</si>
  <si>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</si>
  <si>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</si>
  <si>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</si>
  <si>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</si>
  <si>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</si>
  <si>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</si>
  <si>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</si>
  <si>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</si>
  <si>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</si>
  <si>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</si>
  <si>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</si>
  <si>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</si>
  <si>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</si>
  <si>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</si>
  <si>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</si>
  <si>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</si>
  <si>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</si>
  <si>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</si>
  <si>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</si>
  <si>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</si>
  <si>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</si>
  <si>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</si>
  <si>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</si>
  <si>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</si>
  <si>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</si>
  <si>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</si>
  <si>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</si>
  <si>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</si>
  <si>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</si>
  <si>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</si>
  <si>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</si>
  <si>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</si>
  <si>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</si>
  <si>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</si>
  <si>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</si>
  <si>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</si>
  <si>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</si>
  <si>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</si>
  <si>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</si>
  <si>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</si>
  <si>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</si>
  <si>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</si>
  <si>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</si>
  <si>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</si>
  <si>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</si>
  <si>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</si>
  <si>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</si>
  <si>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</si>
  <si>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</si>
  <si>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</si>
  <si>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</si>
  <si>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</si>
  <si>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</si>
  <si>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</si>
  <si>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</si>
  <si>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</si>
  <si>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</si>
  <si>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</si>
  <si>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</si>
  <si>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</si>
  <si>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</si>
  <si>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</si>
  <si>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</si>
  <si>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</si>
  <si>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</si>
  <si>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</si>
  <si>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</si>
  <si>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</si>
  <si>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</si>
  <si>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</si>
  <si>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</si>
  <si>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</si>
  <si>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</si>
  <si>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</si>
  <si>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</si>
  <si>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</si>
  <si>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</si>
  <si>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</si>
  <si>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</si>
  <si>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</si>
  <si>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</si>
  <si>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</si>
  <si>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</si>
  <si>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</si>
  <si>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</si>
  <si>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</si>
  <si>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</si>
  <si>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</si>
  <si>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</si>
  <si>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</si>
  <si>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</si>
  <si>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</si>
  <si>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</si>
  <si>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</si>
  <si>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</si>
  <si>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</si>
  <si>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</si>
  <si>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</si>
  <si>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</si>
  <si>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</si>
  <si>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</si>
  <si>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</si>
  <si>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</si>
  <si>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</si>
  <si>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</si>
  <si>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</si>
  <si>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</si>
  <si>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</si>
  <si>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</si>
  <si>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</si>
  <si>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</si>
  <si>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</si>
  <si>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</si>
  <si>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</si>
  <si>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</si>
  <si>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</si>
  <si>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</si>
  <si>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</si>
  <si>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</si>
  <si>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</si>
  <si>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</si>
  <si>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</si>
  <si>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</si>
  <si>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</si>
  <si>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</si>
  <si>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</si>
  <si>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</si>
  <si>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</si>
  <si>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</si>
  <si>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</si>
  <si>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</si>
  <si>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</si>
  <si>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</si>
  <si>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</si>
  <si>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</si>
  <si>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</si>
  <si>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</si>
  <si>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</si>
  <si>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</si>
  <si>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</si>
  <si>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</si>
  <si>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</si>
  <si>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</si>
  <si>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</si>
  <si>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</si>
  <si>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</si>
  <si>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</si>
  <si>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</si>
  <si>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</si>
  <si>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</si>
  <si>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</si>
  <si>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</si>
  <si>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</si>
  <si>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</si>
  <si>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</si>
  <si>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</si>
  <si>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</si>
  <si>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</si>
  <si>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</si>
  <si>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</si>
  <si>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</si>
  <si>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</si>
  <si>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</si>
  <si>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</si>
  <si>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</si>
  <si>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</si>
  <si>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</si>
  <si>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</si>
  <si>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</si>
  <si>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</si>
  <si>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</si>
  <si>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</si>
  <si>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</si>
  <si>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</si>
  <si>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</si>
  <si>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</si>
  <si>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</si>
  <si>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</si>
  <si>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</si>
  <si>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</si>
  <si>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</si>
  <si>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</si>
  <si>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</si>
  <si>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</si>
  <si>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</si>
  <si>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</si>
  <si>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</si>
  <si>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</si>
  <si>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</si>
  <si>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</si>
  <si>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</si>
  <si>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</si>
  <si>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</si>
  <si>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</si>
  <si>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</si>
  <si>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</si>
  <si>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</si>
  <si>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</si>
  <si>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</si>
  <si>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</si>
  <si>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</si>
  <si>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</si>
  <si>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</si>
  <si>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</si>
  <si>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</si>
  <si>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</si>
  <si>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</si>
  <si>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</si>
  <si>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</si>
  <si>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</si>
  <si>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</si>
  <si>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</si>
  <si>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</si>
  <si>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</si>
  <si>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</si>
  <si>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</si>
  <si>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</si>
  <si>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</si>
  <si>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</si>
  <si>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</si>
  <si>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</si>
  <si>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</si>
  <si>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</si>
  <si>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</si>
  <si>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</si>
  <si>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</si>
  <si>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</si>
  <si>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</si>
  <si>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</si>
  <si>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</si>
  <si>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</si>
  <si>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</si>
  <si>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</si>
  <si>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</si>
  <si>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</si>
  <si>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</si>
  <si>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</si>
  <si>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</si>
  <si>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</si>
  <si>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</si>
  <si>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</si>
  <si>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</si>
  <si>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</si>
  <si>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</si>
  <si>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</si>
  <si>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</si>
  <si>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</si>
  <si>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</si>
  <si>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</si>
  <si>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</si>
  <si>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</si>
  <si>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</si>
  <si>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</si>
  <si>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</si>
  <si>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</si>
  <si>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</si>
  <si>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</si>
  <si>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</si>
  <si>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</si>
  <si>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</si>
  <si>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</si>
  <si>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</si>
  <si>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</si>
  <si>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</si>
  <si>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</si>
  <si>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</si>
  <si>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</si>
  <si>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</si>
  <si>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</si>
  <si>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</si>
  <si>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</si>
  <si>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</si>
  <si>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</si>
  <si>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</si>
  <si>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</si>
  <si>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</si>
  <si>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</si>
  <si>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</si>
  <si>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</si>
  <si>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</si>
  <si>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</si>
  <si>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</si>
  <si>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</si>
  <si>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</si>
  <si>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</si>
  <si>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</si>
  <si>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</si>
  <si>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</si>
  <si>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</si>
  <si>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</si>
  <si>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</si>
  <si>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</si>
  <si>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</si>
  <si>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</si>
  <si>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</si>
  <si>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</si>
  <si>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</si>
  <si>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</si>
  <si>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</si>
  <si>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</si>
  <si>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</si>
  <si>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</si>
  <si>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</si>
  <si>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</si>
  <si>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</si>
  <si>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</si>
  <si>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</si>
  <si>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</si>
  <si>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</si>
  <si>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</si>
  <si>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</si>
  <si>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</si>
  <si>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</si>
  <si>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</si>
  <si>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</si>
  <si>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</si>
  <si>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</si>
  <si>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</si>
  <si>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</si>
  <si>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</si>
  <si>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</si>
  <si>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</si>
  <si>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</si>
  <si>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</si>
  <si>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</si>
  <si>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</si>
  <si>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</si>
  <si>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</si>
  <si>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</si>
  <si>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</si>
  <si>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</si>
  <si>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</si>
  <si>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</si>
  <si>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</si>
  <si>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</si>
  <si>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</si>
  <si>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</si>
  <si>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</si>
  <si>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</si>
  <si>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</si>
  <si>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</si>
  <si>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</si>
  <si>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</si>
  <si>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</si>
  <si>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</si>
  <si>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</si>
  <si>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</si>
  <si>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</si>
  <si>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</si>
  <si>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</si>
  <si>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</si>
  <si>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</si>
  <si>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</si>
  <si>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</si>
  <si>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</si>
  <si>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</si>
  <si>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</si>
  <si>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</si>
  <si>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</si>
  <si>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</si>
  <si>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</si>
  <si>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</si>
  <si>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</si>
  <si>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</si>
  <si>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</si>
  <si>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</si>
  <si>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</si>
  <si>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</si>
  <si>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</si>
  <si>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</si>
  <si>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</si>
  <si>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</si>
  <si>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</si>
  <si>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</si>
  <si>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</si>
  <si>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</si>
  <si>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</si>
  <si>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</si>
  <si>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</si>
  <si>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</si>
  <si>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</si>
  <si>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</si>
  <si>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</si>
  <si>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</si>
  <si>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</si>
  <si>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</si>
  <si>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</si>
  <si>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</si>
  <si>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</si>
  <si>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</si>
  <si>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</si>
  <si>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</si>
  <si>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</si>
  <si>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</si>
  <si>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</si>
  <si>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</si>
  <si>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</si>
  <si>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</si>
  <si>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</si>
  <si>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</si>
  <si>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</si>
  <si>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</si>
  <si>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</si>
  <si>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</si>
  <si>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</si>
  <si>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</si>
  <si>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</si>
  <si>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</si>
  <si>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</si>
  <si>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</si>
  <si>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</si>
  <si>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</si>
  <si>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</si>
  <si>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</si>
  <si>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</si>
  <si>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</si>
  <si>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</si>
  <si>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</si>
  <si>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</si>
  <si>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</si>
  <si>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</si>
  <si>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</si>
  <si>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</si>
  <si>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</si>
  <si>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</si>
  <si>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</si>
  <si>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</si>
  <si>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</si>
  <si>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</si>
  <si>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</si>
  <si>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</si>
  <si>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</si>
  <si>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</si>
  <si>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</si>
  <si>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</si>
  <si>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</si>
  <si>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</si>
  <si>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</si>
  <si>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</si>
  <si>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</si>
  <si>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</si>
  <si>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</si>
  <si>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</si>
  <si>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</si>
  <si>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</si>
  <si>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</si>
  <si>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</si>
  <si>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</si>
  <si>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</si>
  <si>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</si>
  <si>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</si>
  <si>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</si>
  <si>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</si>
  <si>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</si>
  <si>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</si>
  <si>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</si>
  <si>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</si>
  <si>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</si>
  <si>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</si>
  <si>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</si>
  <si>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</si>
  <si>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</si>
  <si>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</si>
  <si>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</si>
  <si>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</si>
  <si>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</si>
  <si>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</si>
  <si>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</si>
  <si>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</si>
  <si>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</si>
  <si>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</si>
  <si>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</si>
  <si>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</si>
  <si>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</si>
  <si>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</si>
  <si>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</si>
  <si>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</si>
  <si>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</si>
  <si>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</si>
  <si>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</si>
  <si>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</si>
  <si>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</si>
  <si>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</si>
  <si>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</si>
  <si>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</si>
  <si>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</si>
  <si>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</si>
  <si>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</si>
  <si>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</si>
  <si>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</si>
  <si>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</si>
  <si>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</si>
  <si>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</si>
  <si>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</si>
  <si>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</si>
  <si>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</si>
  <si>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</si>
  <si>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</si>
  <si>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</si>
  <si>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</si>
  <si>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</si>
  <si>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</si>
  <si>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</si>
  <si>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</si>
  <si>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</si>
  <si>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</si>
  <si>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</si>
  <si>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</si>
  <si>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</si>
  <si>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</si>
  <si>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</si>
  <si>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</si>
  <si>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</si>
  <si>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</si>
  <si>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</si>
  <si>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</si>
  <si>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</si>
  <si>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</si>
  <si>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</si>
  <si>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</si>
  <si>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</si>
  <si>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</si>
  <si>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</si>
  <si>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</si>
  <si>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</si>
  <si>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</si>
  <si>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</si>
  <si>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</si>
  <si>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</si>
  <si>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</si>
  <si>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</si>
  <si>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</si>
  <si>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</si>
  <si>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</si>
  <si>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</si>
  <si>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</si>
  <si>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</si>
  <si>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</si>
  <si>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</si>
  <si>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</si>
  <si>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</si>
  <si>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</si>
  <si>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</si>
  <si>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</si>
  <si>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</si>
  <si>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</si>
  <si>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</si>
  <si>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</si>
  <si>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</si>
  <si>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</si>
  <si>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</si>
  <si>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</si>
  <si>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</si>
  <si>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</si>
  <si>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</si>
  <si>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</si>
  <si>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</si>
  <si>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</si>
  <si>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</si>
  <si>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</si>
  <si>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</si>
  <si>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</si>
  <si>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</si>
  <si>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</si>
  <si>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</si>
  <si>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</si>
  <si>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</si>
  <si>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</si>
  <si>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</si>
  <si>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</si>
  <si>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</si>
  <si>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</si>
  <si>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</si>
  <si>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</si>
  <si>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</si>
  <si>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</si>
  <si>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</si>
  <si>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</si>
  <si>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</si>
  <si>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</si>
  <si>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</si>
  <si>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</si>
  <si>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</si>
  <si>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</si>
  <si>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</si>
  <si>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</si>
  <si>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</si>
  <si>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</si>
  <si>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</si>
  <si>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</si>
  <si>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</si>
  <si>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</si>
  <si>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</si>
  <si>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</si>
  <si>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</si>
  <si>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</si>
  <si>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</si>
  <si>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</si>
  <si>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</si>
  <si>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</si>
  <si>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</si>
  <si>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</si>
  <si>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</si>
  <si>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</si>
  <si>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</si>
  <si>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</si>
  <si>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</si>
  <si>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</si>
  <si>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</si>
  <si>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</si>
  <si>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</si>
  <si>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</si>
  <si>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</si>
  <si>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</si>
  <si>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</si>
  <si>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</si>
  <si>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</si>
  <si>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</si>
  <si>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</si>
  <si>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</si>
  <si>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</si>
  <si>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</si>
  <si>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</si>
  <si>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</si>
  <si>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</si>
  <si>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</si>
  <si>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</si>
  <si>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</si>
  <si>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</si>
  <si>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</si>
  <si>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</si>
  <si>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</si>
  <si>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</si>
  <si>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</si>
  <si>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</si>
  <si>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</si>
  <si>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</si>
  <si>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</si>
  <si>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</si>
  <si>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</si>
  <si>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</si>
  <si>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</si>
  <si>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</si>
  <si>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</si>
  <si>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</si>
  <si>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</si>
  <si>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</si>
  <si>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</si>
  <si>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</si>
  <si>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</si>
  <si>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</si>
  <si>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</si>
  <si>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</si>
  <si>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</si>
  <si>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</si>
  <si>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</si>
  <si>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</si>
  <si>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</si>
  <si>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</si>
  <si>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</si>
  <si>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</si>
  <si>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</si>
  <si>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</si>
  <si>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</si>
  <si>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</si>
  <si>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</si>
  <si>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</si>
  <si>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</si>
  <si>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</si>
  <si>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</si>
  <si>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</si>
  <si>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</si>
  <si>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</si>
  <si>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</si>
  <si>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</si>
  <si>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</si>
  <si>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</si>
  <si>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</si>
  <si>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</si>
  <si>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</si>
  <si>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</si>
  <si>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</si>
  <si>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</si>
  <si>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</si>
  <si>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</si>
  <si>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</si>
  <si>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</si>
  <si>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</si>
  <si>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</si>
  <si>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</si>
  <si>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</si>
  <si>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</si>
  <si>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</si>
  <si>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</si>
  <si>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</si>
  <si>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</si>
  <si>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</si>
  <si>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</si>
  <si>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</si>
  <si>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</si>
  <si>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</si>
  <si>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</si>
  <si>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</si>
  <si>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</si>
  <si>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</si>
  <si>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</si>
  <si>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</si>
  <si>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</si>
  <si>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</si>
  <si>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</si>
  <si>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</si>
  <si>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</si>
  <si>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</si>
  <si>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</si>
  <si>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</si>
  <si>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</si>
  <si>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</si>
  <si>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</si>
  <si>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</si>
  <si>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</si>
  <si>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</si>
  <si>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</si>
  <si>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</si>
  <si>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</si>
  <si>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</si>
  <si>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</si>
  <si>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</si>
  <si>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</si>
  <si>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</si>
  <si>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</si>
  <si>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</si>
  <si>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</si>
  <si>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</si>
  <si>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</si>
  <si>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</si>
  <si>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</si>
  <si>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</si>
  <si>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</si>
  <si>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</si>
  <si>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</si>
  <si>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</si>
  <si>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</si>
  <si>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</si>
  <si>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</si>
  <si>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</si>
  <si>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</si>
  <si>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</si>
  <si>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</si>
  <si>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</si>
  <si>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</si>
  <si>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</si>
  <si>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</si>
  <si>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</si>
  <si>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</si>
  <si>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</si>
  <si>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</si>
  <si>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</si>
  <si>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</si>
  <si>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</si>
  <si>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</si>
  <si>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</si>
  <si>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</si>
  <si>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</si>
  <si>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</si>
  <si>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</si>
  <si>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</si>
  <si>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</si>
  <si>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</si>
  <si>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</si>
  <si>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</si>
  <si>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</si>
  <si>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</si>
  <si>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</si>
  <si>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</si>
  <si>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</si>
  <si>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</si>
  <si>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</si>
  <si>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</si>
  <si>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</si>
  <si>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</si>
  <si>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</si>
  <si>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</si>
  <si>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</si>
  <si>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</si>
  <si>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</si>
  <si>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</si>
  <si>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</si>
  <si>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</si>
  <si>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</si>
  <si>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</si>
  <si>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</si>
  <si>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</si>
  <si>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</si>
  <si>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</si>
  <si>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</si>
  <si>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</si>
  <si>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</si>
  <si>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</si>
  <si>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</si>
  <si>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</si>
  <si>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</si>
  <si>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</si>
  <si>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</si>
  <si>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</si>
  <si>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</si>
  <si>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</si>
  <si>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</si>
  <si>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</si>
  <si>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</si>
  <si>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</si>
  <si>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</si>
  <si>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</si>
  <si>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</si>
  <si>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</si>
  <si>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</si>
  <si>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</si>
  <si>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</si>
  <si>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</si>
  <si>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</si>
  <si>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</si>
  <si>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</si>
  <si>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</si>
  <si>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</si>
  <si>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</si>
  <si>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</si>
  <si>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</si>
  <si>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</si>
  <si>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</si>
  <si>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</si>
  <si>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</si>
  <si>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</si>
  <si>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</si>
  <si>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</si>
  <si>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</si>
  <si>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</si>
  <si>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</si>
  <si>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</si>
  <si>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</si>
  <si>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</si>
  <si>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</si>
  <si>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</si>
  <si>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</si>
  <si>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</si>
  <si>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</si>
  <si>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</si>
  <si>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</si>
  <si>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</si>
  <si>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</si>
  <si>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</si>
  <si>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</si>
  <si>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</si>
  <si>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</si>
  <si>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</si>
  <si>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</si>
  <si>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</si>
  <si>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</si>
  <si>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</si>
  <si>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</si>
  <si>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</si>
  <si>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</si>
  <si>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</si>
  <si>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</si>
  <si>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</si>
  <si>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</si>
  <si>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</si>
  <si>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</si>
  <si>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</si>
  <si>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</si>
  <si>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</si>
  <si>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</si>
  <si>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</si>
  <si>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</si>
  <si>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</si>
  <si>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</si>
  <si>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</si>
  <si>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</si>
  <si>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</si>
  <si>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</si>
  <si>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</si>
  <si>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</si>
  <si>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</si>
  <si>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</si>
  <si>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</si>
  <si>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</si>
  <si>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</si>
  <si>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</si>
  <si>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</si>
  <si>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</si>
  <si>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</si>
  <si>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</si>
  <si>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</si>
  <si>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</si>
  <si>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</si>
  <si>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</si>
  <si>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</si>
  <si>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</si>
  <si>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</si>
  <si>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</si>
  <si>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</si>
  <si>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</si>
  <si>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</si>
  <si>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</si>
  <si>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</si>
  <si>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</si>
  <si>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</si>
  <si>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</si>
  <si>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</si>
  <si>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</si>
  <si>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</si>
  <si>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</si>
  <si>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</si>
  <si>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</si>
  <si>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</si>
  <si>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</si>
  <si>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</si>
  <si>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</si>
  <si>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</si>
  <si>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</si>
  <si>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</si>
  <si>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</si>
  <si>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</si>
  <si>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</si>
  <si>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</si>
  <si>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</si>
  <si>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</si>
  <si>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</si>
  <si>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</si>
  <si>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</si>
  <si>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</si>
  <si>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</si>
  <si>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</si>
  <si>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</si>
  <si>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</si>
  <si>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</si>
  <si>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</si>
  <si>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</si>
  <si>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</si>
  <si>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</si>
  <si>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</si>
  <si>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</si>
  <si>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</si>
  <si>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</si>
  <si>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</si>
  <si>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</si>
  <si>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</si>
  <si>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</si>
  <si>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</si>
  <si>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</si>
  <si>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</si>
  <si>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</si>
  <si>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</si>
  <si>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</si>
  <si>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</si>
  <si>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</si>
  <si>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</si>
  <si>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</si>
  <si>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</si>
  <si>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</si>
  <si>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</si>
  <si>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</si>
  <si>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</si>
  <si>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</si>
  <si>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</si>
  <si>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</si>
  <si>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</si>
  <si>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</si>
  <si>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</si>
  <si>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</si>
  <si>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</si>
  <si>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</si>
  <si>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</si>
  <si>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</si>
  <si>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</si>
  <si>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</si>
  <si>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</si>
  <si>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</si>
  <si>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</si>
  <si>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</si>
  <si>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</si>
  <si>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</si>
  <si>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</si>
  <si>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</si>
  <si>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</si>
  <si>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</si>
  <si>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</si>
  <si>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</si>
  <si>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</si>
  <si>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</si>
  <si>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</si>
  <si>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</si>
  <si>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</si>
  <si>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</si>
  <si>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</si>
  <si>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</si>
  <si>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</si>
  <si>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</si>
  <si>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</si>
  <si>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</si>
  <si>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</si>
  <si>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</si>
  <si>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</si>
  <si>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</si>
  <si>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</si>
  <si>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</si>
  <si>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</si>
  <si>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</si>
  <si>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</si>
  <si>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</si>
  <si>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</si>
  <si>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</si>
  <si>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</si>
  <si>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</si>
  <si>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</si>
  <si>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</si>
  <si>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</si>
  <si>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</si>
  <si>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</si>
  <si>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</si>
  <si>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</si>
  <si>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</si>
  <si>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</si>
  <si>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</si>
  <si>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</si>
  <si>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</si>
  <si>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</si>
  <si>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</si>
  <si>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</si>
  <si>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</si>
  <si>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</si>
  <si>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</si>
  <si>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</si>
  <si>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</si>
  <si>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</si>
  <si>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</si>
  <si>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</si>
  <si>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</si>
  <si>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</si>
  <si>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</si>
  <si>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</si>
  <si>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</si>
  <si>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</si>
  <si>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</si>
  <si>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</si>
  <si>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</si>
  <si>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</si>
  <si>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</si>
  <si>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</si>
  <si>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</si>
  <si>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</si>
  <si>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</si>
  <si>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</si>
  <si>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</si>
  <si>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</si>
  <si>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</si>
  <si>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</si>
  <si>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</si>
  <si>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</si>
  <si>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</si>
  <si>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</si>
  <si>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</si>
  <si>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</si>
  <si>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</si>
  <si>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</si>
  <si>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</si>
  <si>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</si>
  <si>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</si>
  <si>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</si>
  <si>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</si>
  <si>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</si>
  <si>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</si>
  <si>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</si>
  <si>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</si>
  <si>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</si>
  <si>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</si>
  <si>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</si>
  <si>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</si>
  <si>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</si>
  <si>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</si>
  <si>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</si>
  <si>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</si>
  <si>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</si>
  <si>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</si>
  <si>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</si>
  <si>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</si>
  <si>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</si>
  <si>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</si>
  <si>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</si>
  <si>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</si>
  <si>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</si>
  <si>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</si>
  <si>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</si>
  <si>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</si>
  <si>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</si>
  <si>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</si>
  <si>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</si>
  <si>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</si>
  <si>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</si>
  <si>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</si>
  <si>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</si>
  <si>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</si>
  <si>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</si>
  <si>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</si>
  <si>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</si>
  <si>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</si>
  <si>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</si>
  <si>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</si>
  <si>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</si>
  <si>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</si>
  <si>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</si>
  <si>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</si>
  <si>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</si>
  <si>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</si>
  <si>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</si>
  <si>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</si>
  <si>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</si>
  <si>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</si>
  <si>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</si>
  <si>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</si>
  <si>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</si>
  <si>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</si>
  <si>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</si>
  <si>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</si>
  <si>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</si>
  <si>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</si>
  <si>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</si>
  <si>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</si>
  <si>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</si>
  <si>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</si>
  <si>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</si>
  <si>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</si>
  <si>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</si>
  <si>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</si>
  <si>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</si>
  <si>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</si>
  <si>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</si>
  <si>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</si>
  <si>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</si>
  <si>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</si>
  <si>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</si>
  <si>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</si>
  <si>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</si>
  <si>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</si>
  <si>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</si>
  <si>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</si>
  <si>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</si>
  <si>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</si>
  <si>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</si>
  <si>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</si>
  <si>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</si>
  <si>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</si>
  <si>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</si>
  <si>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</si>
  <si>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</si>
  <si>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</si>
  <si>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</si>
  <si>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</si>
  <si>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</si>
  <si>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</si>
  <si>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</si>
  <si>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</si>
  <si>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</si>
  <si>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</si>
  <si>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</si>
  <si>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</si>
  <si>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</si>
  <si>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</si>
  <si>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</si>
  <si>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</si>
  <si>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</si>
  <si>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</si>
  <si>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</si>
  <si>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</si>
  <si>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</si>
  <si>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</si>
  <si>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</si>
  <si>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</si>
  <si>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</si>
  <si>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</si>
  <si>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</si>
  <si>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</si>
  <si>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</si>
  <si>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</si>
  <si>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</si>
  <si>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</si>
  <si>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</si>
  <si>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</si>
  <si>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</si>
  <si>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</si>
  <si>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</si>
  <si>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</si>
  <si>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</si>
  <si>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</si>
  <si>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</si>
  <si>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</si>
  <si>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</si>
  <si>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</si>
  <si>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</si>
  <si>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</si>
  <si>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</si>
  <si>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</si>
  <si>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</si>
  <si>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</si>
  <si>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</si>
  <si>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</si>
  <si>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</si>
  <si>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</si>
  <si>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</si>
  <si>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</si>
  <si>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</si>
  <si>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</si>
  <si>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</si>
  <si>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</si>
  <si>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</si>
  <si>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</si>
  <si>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</si>
  <si>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</si>
  <si>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</si>
  <si>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</si>
  <si>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</si>
  <si>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</si>
  <si>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</si>
  <si>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</si>
  <si>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</si>
  <si>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</si>
  <si>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</si>
  <si>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</si>
  <si>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</si>
  <si>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</si>
  <si>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</si>
  <si>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</si>
  <si>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</si>
  <si>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</si>
  <si>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</si>
  <si>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</si>
  <si>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</si>
  <si>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</si>
  <si>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</si>
  <si>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</si>
  <si>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</si>
  <si>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</si>
  <si>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</si>
  <si>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</si>
  <si>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</si>
  <si>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</si>
  <si>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</si>
  <si>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</si>
  <si>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</si>
  <si>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</si>
  <si>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</si>
  <si>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</si>
  <si>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</si>
  <si>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</si>
  <si>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</si>
  <si>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</si>
  <si>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</si>
  <si>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</si>
  <si>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</si>
  <si>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</si>
  <si>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</si>
  <si>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</si>
  <si>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</si>
  <si>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</si>
  <si>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</si>
  <si>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</si>
  <si>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</si>
  <si>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</si>
  <si>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</si>
  <si>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</si>
  <si>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</si>
  <si>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</si>
  <si>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</si>
  <si>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</si>
  <si>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</si>
  <si>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</si>
  <si>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</si>
  <si>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</si>
  <si>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</si>
  <si>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</si>
  <si>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</si>
  <si>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</si>
  <si>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</si>
  <si>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</si>
  <si>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</si>
  <si>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</si>
  <si>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</si>
  <si>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</si>
  <si>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</si>
  <si>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</si>
  <si>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</si>
  <si>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</si>
  <si>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</si>
  <si>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</si>
  <si>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</si>
  <si>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</si>
  <si>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</si>
  <si>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</si>
  <si>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</si>
  <si>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</si>
  <si>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</si>
  <si>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</si>
  <si>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</si>
  <si>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</si>
  <si>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</si>
  <si>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</si>
  <si>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</si>
  <si>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</si>
  <si>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</si>
  <si>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</si>
  <si>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</si>
  <si>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</si>
  <si>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</si>
  <si>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</si>
  <si>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</si>
  <si>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</si>
  <si>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</si>
  <si>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</si>
  <si>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</si>
  <si>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</si>
  <si>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</si>
  <si>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</si>
  <si>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</si>
  <si>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</si>
  <si>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</si>
  <si>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</si>
  <si>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</si>
  <si>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</si>
  <si>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</si>
  <si>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</si>
  <si>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</si>
  <si>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</si>
  <si>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</si>
  <si>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</si>
  <si>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</si>
  <si>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</si>
  <si>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</si>
  <si>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</si>
  <si>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</si>
  <si>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</si>
  <si>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</si>
  <si>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</si>
  <si>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</si>
  <si>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</si>
  <si>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</si>
  <si>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</si>
  <si>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</si>
  <si>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</si>
  <si>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</si>
  <si>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</si>
  <si>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</si>
  <si>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</si>
  <si>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</si>
  <si>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</si>
  <si>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</si>
  <si>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</si>
  <si>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</si>
  <si>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</si>
  <si>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</si>
  <si>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</si>
  <si>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</si>
  <si>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</si>
  <si>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</si>
  <si>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</si>
  <si>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</si>
  <si>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</si>
  <si>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</si>
  <si>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</si>
  <si>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</si>
  <si>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</si>
  <si>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</si>
  <si>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</si>
  <si>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</si>
  <si>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</si>
  <si>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</si>
  <si>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</si>
  <si>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</si>
  <si>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</si>
  <si>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</si>
  <si>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</si>
  <si>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</si>
  <si>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</si>
  <si>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</si>
  <si>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</si>
  <si>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</si>
  <si>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</si>
  <si>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</si>
  <si>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</si>
  <si>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</si>
  <si>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</si>
  <si>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</si>
  <si>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</si>
  <si>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</si>
  <si>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</si>
  <si>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</si>
  <si>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</si>
  <si>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</si>
  <si>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</si>
  <si>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</si>
  <si>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</si>
  <si>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</si>
  <si>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</si>
  <si>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</si>
  <si>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</si>
  <si>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</si>
  <si>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</si>
  <si>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</si>
  <si>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</si>
  <si>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</si>
  <si>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</si>
  <si>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</si>
  <si>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</si>
  <si>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</si>
  <si>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</si>
  <si>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</si>
  <si>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</si>
  <si>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</si>
  <si>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</si>
  <si>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</si>
  <si>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</si>
  <si>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</si>
  <si>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</si>
  <si>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</si>
  <si>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</si>
  <si>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</si>
  <si>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</si>
  <si>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</si>
  <si>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</si>
  <si>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</si>
  <si>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</si>
  <si>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</si>
  <si>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</si>
  <si>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</si>
  <si>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</si>
  <si>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</si>
  <si>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</si>
  <si>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</si>
  <si>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</si>
  <si>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</si>
  <si>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</si>
  <si>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</si>
  <si>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</si>
  <si>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</si>
  <si>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</si>
  <si>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</si>
  <si>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</si>
  <si>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</si>
  <si>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</si>
  <si>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</si>
  <si>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</si>
  <si>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</si>
  <si>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</si>
  <si>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</si>
  <si>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</si>
  <si>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</si>
  <si>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</si>
  <si>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</si>
  <si>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</si>
  <si>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</si>
  <si>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</si>
  <si>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</si>
  <si>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</si>
  <si>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</si>
  <si>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</si>
  <si>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</si>
  <si>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</si>
  <si>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</si>
  <si>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</si>
  <si>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</si>
  <si>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</si>
  <si>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</si>
  <si>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</si>
  <si>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</si>
  <si>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</si>
  <si>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</si>
  <si>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</si>
  <si>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</si>
  <si>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</si>
  <si>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</si>
  <si>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</si>
  <si>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</si>
  <si>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</si>
  <si>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</si>
  <si>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</si>
  <si>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</si>
  <si>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</si>
  <si>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</si>
  <si>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</si>
  <si>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</si>
  <si>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</si>
  <si>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</si>
  <si>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</si>
  <si>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</si>
  <si>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</si>
  <si>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</si>
  <si>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</si>
  <si>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</si>
  <si>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</si>
  <si>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</si>
  <si>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</si>
  <si>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</si>
  <si>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</si>
  <si>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</si>
  <si>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</si>
  <si>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</si>
  <si>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</si>
  <si>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</si>
  <si>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</si>
  <si>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</si>
  <si>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</si>
  <si>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</si>
  <si>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</si>
  <si>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</si>
  <si>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</si>
  <si>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</si>
  <si>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</si>
  <si>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</si>
  <si>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</si>
  <si>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</si>
  <si>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</si>
  <si>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</si>
  <si>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</si>
  <si>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</si>
  <si>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</si>
  <si>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</si>
  <si>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</si>
  <si>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</si>
  <si>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</si>
  <si>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</si>
  <si>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</si>
  <si>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</si>
  <si>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</si>
  <si>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</si>
  <si>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</si>
  <si>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</si>
  <si>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</si>
  <si>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</si>
  <si>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</si>
  <si>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</si>
  <si>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</si>
  <si>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</si>
  <si>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</si>
  <si>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</si>
  <si>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</si>
  <si>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</si>
  <si>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</si>
  <si>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</si>
  <si>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</si>
  <si>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</si>
  <si>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</si>
  <si>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</si>
  <si>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</si>
  <si>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</si>
  <si>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</si>
  <si>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</si>
  <si>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</si>
  <si>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</si>
  <si>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</si>
  <si>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</si>
  <si>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</si>
  <si>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</si>
  <si>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</si>
  <si>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</si>
  <si>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</si>
  <si>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</si>
  <si>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</si>
  <si>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</si>
  <si>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</si>
  <si>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</si>
  <si>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</si>
  <si>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</si>
  <si>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</si>
  <si>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</si>
  <si>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</si>
  <si>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</si>
  <si>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</si>
  <si>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</si>
  <si>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</si>
  <si>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</si>
  <si>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</si>
  <si>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</si>
  <si>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</si>
  <si>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</si>
  <si>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</si>
  <si>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</si>
  <si>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</si>
  <si>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</si>
  <si>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</si>
  <si>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</si>
  <si>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</si>
  <si>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</si>
  <si>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</si>
  <si>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</si>
  <si>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</si>
  <si>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</si>
  <si>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</si>
  <si>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</si>
  <si>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</si>
  <si>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</si>
  <si>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</si>
  <si>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</si>
  <si>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</si>
  <si>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</si>
  <si>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</si>
  <si>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</si>
  <si>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</si>
  <si>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</si>
  <si>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</si>
  <si>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</si>
  <si>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</si>
  <si>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</si>
  <si>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</si>
  <si>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</si>
  <si>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</si>
  <si>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</si>
  <si>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</si>
  <si>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</si>
  <si>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</si>
  <si>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</si>
  <si>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</si>
  <si>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</si>
  <si>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</si>
  <si>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</si>
  <si>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</si>
  <si>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</si>
  <si>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</si>
  <si>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</si>
  <si>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</si>
  <si>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</si>
  <si>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</si>
  <si>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</si>
  <si>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</si>
  <si>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</si>
  <si>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</si>
  <si>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</si>
  <si>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</si>
  <si>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</si>
  <si>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</si>
  <si>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</si>
  <si>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</si>
  <si>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</si>
  <si>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</si>
  <si>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</si>
  <si>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</si>
  <si>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</si>
  <si>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</si>
  <si>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</si>
  <si>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</si>
  <si>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</si>
  <si>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</si>
  <si>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</si>
  <si>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</si>
  <si>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</si>
  <si>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</si>
  <si>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</si>
  <si>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</si>
  <si>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</si>
  <si>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</si>
  <si>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</si>
  <si>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</si>
  <si>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</si>
  <si>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</si>
  <si>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</si>
  <si>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</si>
  <si>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</si>
  <si>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</si>
  <si>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</si>
  <si>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</si>
  <si>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</si>
  <si>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</si>
  <si>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</si>
  <si>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</si>
  <si>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</si>
  <si>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</si>
  <si>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</si>
  <si>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</si>
  <si>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</si>
  <si>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</si>
  <si>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</si>
  <si>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</si>
  <si>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</si>
  <si>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</si>
  <si>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</si>
  <si>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</si>
  <si>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</si>
  <si>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</si>
  <si>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</si>
  <si>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</si>
  <si>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</si>
  <si>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</si>
  <si>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</si>
  <si>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</si>
  <si>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</si>
  <si>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</si>
  <si>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</si>
  <si>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</si>
  <si>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</si>
  <si>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</si>
  <si>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</si>
  <si>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</si>
  <si>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</si>
  <si>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</si>
  <si>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</si>
  <si>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</si>
  <si>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</si>
  <si>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</si>
  <si>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</si>
  <si>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</si>
  <si>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</si>
  <si>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</si>
  <si>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</si>
  <si>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</si>
  <si>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</si>
  <si>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</si>
  <si>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</si>
  <si>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</si>
  <si>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</si>
  <si>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</si>
  <si>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</si>
  <si>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</si>
  <si>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</si>
  <si>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</si>
  <si>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</si>
  <si>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</si>
  <si>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</si>
  <si>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</si>
  <si>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</si>
  <si>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</si>
  <si>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</si>
  <si>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</si>
  <si>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</si>
  <si>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</si>
  <si>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</si>
  <si>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</si>
  <si>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</si>
  <si>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</si>
  <si>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</si>
  <si>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</si>
  <si>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</si>
  <si>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</si>
  <si>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</si>
  <si>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</si>
  <si>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</si>
  <si>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</si>
  <si>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</si>
  <si>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</si>
  <si>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</si>
  <si>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</si>
  <si>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</si>
  <si>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</si>
  <si>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</si>
  <si>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</si>
  <si>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</si>
  <si>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</si>
  <si>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</si>
  <si>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</si>
  <si>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</si>
  <si>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</si>
  <si>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</si>
  <si>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</si>
  <si>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</si>
  <si>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</si>
  <si>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</si>
  <si>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</si>
  <si>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</si>
  <si>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</si>
  <si>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</si>
  <si>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</si>
  <si>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</si>
  <si>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</si>
  <si>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</si>
  <si>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</si>
  <si>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</si>
  <si>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</si>
  <si>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</si>
  <si>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</si>
  <si>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</si>
  <si>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</si>
  <si>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</si>
  <si>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</si>
  <si>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</si>
  <si>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</si>
  <si>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</si>
  <si>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</si>
  <si>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</si>
  <si>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</si>
  <si>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</si>
  <si>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</si>
  <si>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</si>
  <si>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</si>
  <si>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</si>
  <si>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</si>
  <si>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</si>
  <si>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</si>
  <si>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</si>
  <si>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</si>
  <si>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</si>
  <si>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</si>
  <si>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</si>
  <si>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</si>
  <si>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</si>
  <si>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</si>
  <si>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</si>
  <si>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</si>
  <si>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</si>
  <si>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</si>
  <si>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</si>
  <si>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</si>
  <si>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</si>
  <si>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</si>
  <si>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</si>
  <si>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</si>
  <si>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</si>
  <si>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</si>
  <si>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</si>
  <si>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</si>
  <si>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</si>
  <si>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</si>
  <si>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</si>
  <si>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</si>
  <si>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</si>
  <si>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</si>
  <si>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</si>
  <si>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</si>
  <si>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</si>
  <si>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</si>
  <si>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</si>
  <si>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</si>
  <si>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</si>
  <si>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</si>
  <si>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</si>
  <si>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</si>
  <si>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</si>
  <si>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</si>
  <si>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</si>
  <si>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</si>
  <si>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</si>
  <si>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</si>
  <si>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</si>
  <si>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</si>
  <si>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</si>
  <si>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</si>
  <si>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</si>
  <si>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</si>
  <si>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</si>
  <si>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</si>
  <si>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</si>
  <si>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</si>
  <si>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</si>
  <si>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</si>
  <si>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</si>
  <si>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</si>
  <si>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</si>
  <si>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</si>
  <si>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</si>
  <si>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</si>
  <si>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</si>
  <si>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</si>
  <si>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</si>
  <si>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</si>
  <si>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</si>
  <si>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</si>
  <si>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</si>
  <si>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</si>
  <si>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</si>
  <si>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</si>
  <si>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</si>
  <si>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</si>
  <si>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</si>
  <si>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</si>
  <si>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</si>
  <si>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</si>
  <si>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</si>
  <si>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</si>
  <si>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</si>
  <si>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</si>
  <si>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</si>
  <si>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</si>
  <si>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</si>
  <si>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</si>
  <si>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</si>
  <si>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</si>
  <si>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</si>
  <si>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</si>
  <si>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</si>
  <si>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</si>
  <si>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</si>
  <si>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</si>
  <si>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</si>
  <si>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</si>
  <si>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</si>
  <si>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</si>
  <si>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</si>
  <si>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</si>
  <si>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</si>
  <si>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</si>
  <si>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</si>
  <si>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</si>
  <si>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</si>
  <si>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</si>
  <si>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</si>
  <si>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</si>
  <si>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</si>
  <si>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</si>
  <si>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</si>
  <si>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</si>
  <si>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</si>
  <si>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</si>
  <si>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</si>
  <si>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</si>
  <si>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</si>
  <si>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</si>
  <si>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</si>
  <si>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</si>
  <si>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</si>
  <si>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</si>
  <si>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</si>
  <si>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</si>
  <si>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</si>
  <si>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</si>
  <si>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</si>
  <si>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</si>
  <si>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</si>
  <si>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</si>
  <si>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</si>
  <si>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</si>
  <si>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</si>
  <si>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</si>
  <si>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</si>
  <si>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</si>
  <si>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</si>
  <si>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</si>
  <si>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</si>
  <si>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</si>
  <si>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</si>
  <si>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</si>
  <si>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</si>
  <si>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</si>
  <si>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</si>
  <si>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</si>
  <si>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</si>
  <si>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</si>
  <si>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</si>
  <si>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</si>
  <si>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</si>
  <si>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</si>
  <si>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</si>
  <si>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</si>
  <si>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</si>
  <si>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</si>
  <si>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</si>
  <si>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</si>
  <si>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</si>
  <si>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</si>
  <si>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</si>
  <si>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</si>
  <si>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</si>
  <si>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</si>
  <si>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</si>
  <si>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</si>
  <si>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</si>
  <si>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</si>
  <si>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</si>
  <si>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</si>
  <si>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</si>
  <si>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</si>
  <si>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</si>
  <si>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</si>
  <si>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</si>
  <si>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</si>
  <si>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</si>
  <si>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</si>
  <si>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</si>
  <si>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</si>
  <si>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</si>
  <si>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</si>
  <si>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</si>
  <si>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</si>
  <si>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</si>
  <si>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</si>
  <si>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</si>
  <si>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</si>
  <si>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</si>
  <si>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</si>
  <si>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</si>
  <si>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</si>
  <si>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</si>
  <si>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</si>
  <si>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</si>
  <si>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</si>
  <si>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</si>
  <si>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</si>
  <si>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</si>
  <si>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</si>
  <si>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</si>
  <si>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</si>
  <si>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</si>
  <si>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</si>
  <si>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</si>
  <si>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</si>
  <si>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</si>
  <si>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</si>
  <si>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</si>
  <si>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</si>
  <si>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</si>
  <si>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</si>
  <si>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</si>
  <si>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</si>
  <si>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</si>
  <si>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</si>
  <si>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</si>
  <si>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</si>
  <si>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</si>
  <si>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</si>
  <si>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</si>
  <si>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</si>
  <si>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</si>
  <si>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</si>
  <si>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</si>
  <si>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</si>
  <si>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</si>
  <si>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</si>
  <si>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</si>
  <si>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</si>
  <si>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</si>
  <si>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</si>
  <si>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</si>
  <si>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</si>
  <si>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</si>
  <si>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</si>
  <si>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</si>
  <si>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</si>
  <si>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</si>
  <si>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</si>
  <si>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</si>
  <si>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</si>
  <si>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</si>
  <si>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</si>
  <si>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</si>
  <si>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</si>
  <si>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</si>
  <si>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</si>
  <si>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</si>
  <si>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</si>
  <si>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</si>
  <si>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</si>
  <si>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</si>
  <si>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</si>
  <si>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</si>
  <si>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</si>
  <si>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</si>
  <si>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</si>
  <si>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</si>
  <si>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</si>
  <si>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</si>
  <si>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</si>
  <si>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</si>
  <si>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</si>
  <si>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</si>
  <si>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</si>
  <si>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</si>
  <si>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</si>
  <si>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</si>
  <si>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</si>
  <si>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</si>
  <si>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</si>
  <si>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</si>
  <si>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</si>
  <si>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</si>
  <si>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</si>
  <si>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</si>
  <si>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</si>
  <si>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</si>
  <si>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</si>
  <si>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</si>
  <si>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</si>
  <si>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</si>
  <si>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</si>
  <si>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</si>
  <si>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</si>
  <si>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</si>
  <si>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</si>
  <si>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</si>
  <si>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</si>
  <si>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</si>
  <si>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</si>
  <si>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</si>
  <si>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</si>
  <si>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</si>
  <si>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</si>
  <si>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</si>
  <si>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</si>
  <si>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</si>
  <si>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</si>
  <si>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</si>
  <si>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</si>
  <si>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</si>
  <si>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</si>
  <si>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</si>
  <si>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</si>
  <si>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</si>
  <si>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</si>
  <si>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</si>
  <si>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</si>
  <si>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</si>
  <si>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</si>
  <si>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</si>
  <si>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</si>
  <si>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</si>
  <si>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</si>
  <si>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</si>
  <si>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</si>
  <si>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</si>
  <si>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</si>
  <si>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</si>
  <si>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</si>
  <si>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</si>
  <si>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</si>
  <si>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</si>
  <si>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</si>
  <si>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</si>
  <si>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</si>
  <si>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</si>
  <si>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</si>
  <si>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</si>
  <si>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</si>
  <si>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</si>
  <si>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</si>
  <si>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</si>
  <si>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</si>
  <si>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</si>
  <si>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</si>
  <si>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</si>
  <si>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</si>
  <si>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</si>
  <si>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</si>
  <si>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</si>
  <si>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</si>
  <si>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</si>
  <si>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</si>
  <si>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</si>
  <si>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</si>
  <si>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</si>
  <si>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</si>
  <si>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</si>
  <si>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</si>
  <si>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</si>
  <si>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</si>
  <si>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</si>
  <si>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</si>
  <si>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</si>
  <si>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</si>
  <si>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</si>
  <si>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</si>
  <si>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</si>
  <si>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</si>
  <si>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</si>
  <si>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</si>
  <si>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</si>
  <si>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</si>
  <si>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</si>
  <si>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</si>
  <si>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</si>
  <si>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</si>
  <si>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</si>
  <si>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</si>
  <si>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</si>
  <si>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</si>
  <si>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</si>
  <si>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</si>
  <si>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</si>
  <si>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</si>
  <si>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</si>
  <si>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</si>
  <si>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</si>
  <si>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</si>
  <si>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</si>
  <si>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</si>
  <si>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</si>
  <si>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</si>
  <si>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</si>
  <si>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</si>
  <si>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</si>
  <si>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</si>
  <si>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</si>
  <si>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</si>
  <si>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</si>
  <si>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</si>
  <si>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</si>
  <si>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</si>
  <si>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</si>
  <si>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</si>
  <si>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</si>
  <si>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</si>
  <si>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</si>
  <si>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</si>
  <si>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</si>
  <si>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</si>
  <si>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</si>
  <si>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</si>
  <si>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</si>
  <si>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</si>
  <si>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</si>
  <si>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</si>
  <si>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</si>
  <si>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</si>
  <si>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</si>
  <si>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</si>
  <si>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</si>
  <si>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</si>
  <si>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</si>
  <si>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</si>
  <si>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</si>
  <si>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</si>
  <si>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</si>
  <si>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</si>
  <si>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</si>
  <si>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</si>
  <si>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</si>
  <si>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</si>
  <si>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</si>
  <si>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</si>
  <si>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</si>
  <si>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</si>
  <si>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</si>
  <si>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</si>
  <si>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</si>
  <si>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</si>
  <si>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</si>
  <si>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</si>
  <si>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</si>
  <si>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</si>
  <si>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</si>
  <si>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</si>
  <si>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</si>
  <si>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</si>
  <si>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</si>
  <si>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</si>
  <si>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</si>
  <si>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</si>
  <si>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</si>
  <si>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</si>
  <si>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</si>
  <si>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</si>
  <si>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</si>
  <si>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</si>
  <si>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</si>
  <si>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</si>
  <si>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</si>
  <si>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</si>
  <si>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</si>
  <si>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</si>
  <si>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</si>
  <si>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</si>
  <si>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</si>
  <si>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</si>
  <si>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</si>
  <si>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</si>
  <si>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</si>
  <si>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</si>
  <si>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</si>
  <si>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</si>
  <si>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</si>
  <si>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</si>
  <si>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</si>
  <si>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</si>
  <si>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</si>
  <si>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</si>
  <si>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</si>
  <si>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</si>
  <si>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</si>
  <si>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</si>
  <si>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</si>
  <si>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</si>
  <si>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</si>
  <si>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</si>
  <si>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</si>
  <si>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</si>
  <si>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</si>
  <si>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</si>
  <si>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</si>
  <si>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</si>
  <si>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</si>
  <si>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</si>
  <si>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</si>
  <si>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</si>
  <si>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</si>
  <si>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</si>
  <si>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</si>
  <si>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</si>
  <si>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</si>
  <si>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</si>
  <si>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</si>
  <si>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</si>
  <si>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</si>
  <si>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</si>
  <si>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</si>
  <si>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</si>
  <si>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</si>
  <si>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</si>
  <si>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</si>
  <si>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</si>
  <si>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</si>
  <si>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</si>
  <si>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</si>
  <si>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</si>
  <si>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</si>
  <si>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</si>
  <si>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</si>
  <si>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</si>
  <si>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</si>
  <si>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</si>
  <si>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</si>
  <si>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</si>
  <si>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</si>
  <si>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</si>
  <si>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</si>
  <si>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</si>
  <si>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</si>
  <si>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</si>
  <si>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</si>
  <si>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</si>
  <si>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</si>
  <si>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</si>
  <si>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</si>
  <si>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</si>
  <si>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</si>
  <si>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</si>
  <si>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</si>
  <si>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</si>
  <si>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</si>
  <si>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</si>
  <si>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</si>
  <si>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</si>
  <si>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</si>
  <si>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</si>
  <si>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</si>
  <si>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</si>
  <si>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</si>
  <si>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</si>
  <si>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</si>
  <si>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</si>
  <si>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</si>
  <si>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</si>
  <si>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</si>
  <si>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</si>
  <si>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</si>
  <si>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</si>
  <si>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</si>
  <si>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</si>
  <si>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</si>
  <si>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</si>
  <si>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</si>
  <si>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</si>
  <si>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</si>
  <si>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</si>
  <si>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</si>
  <si>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</si>
  <si>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</si>
  <si>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</si>
  <si>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</si>
  <si>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</si>
  <si>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</si>
  <si>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</si>
  <si>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</si>
  <si>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</si>
  <si>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</si>
  <si>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</si>
  <si>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</si>
  <si>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</si>
  <si>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</si>
  <si>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</si>
  <si>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</si>
  <si>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</si>
  <si>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</si>
  <si>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</si>
  <si>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</si>
  <si>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</si>
  <si>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</si>
  <si>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</si>
  <si>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</si>
  <si>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</si>
  <si>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</si>
  <si>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</si>
  <si>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</si>
  <si>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</si>
  <si>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</si>
  <si>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</si>
  <si>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</si>
  <si>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</si>
  <si>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</si>
  <si>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</si>
  <si>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</si>
  <si>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</si>
  <si>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</si>
  <si>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</si>
  <si>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</si>
  <si>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</si>
  <si>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</si>
  <si>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</si>
  <si>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</si>
  <si>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</si>
  <si>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</si>
  <si>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</si>
  <si>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</si>
  <si>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</si>
  <si>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</si>
  <si>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</si>
  <si>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</si>
  <si>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</si>
  <si>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</si>
  <si>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</si>
  <si>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</si>
  <si>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</si>
  <si>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</si>
  <si>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</si>
  <si>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</si>
  <si>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</si>
  <si>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</si>
  <si>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</si>
  <si>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</si>
  <si>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</si>
  <si>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</si>
  <si>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</si>
  <si>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</si>
  <si>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</si>
  <si>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</si>
  <si>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</si>
  <si>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</si>
  <si>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</si>
  <si>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</si>
  <si>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</si>
  <si>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</si>
  <si>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</si>
  <si>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</si>
  <si>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</si>
  <si>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</si>
  <si>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</si>
  <si>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</si>
  <si>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</si>
  <si>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</si>
  <si>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</si>
  <si>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</si>
  <si>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</si>
  <si>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</si>
  <si>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</si>
  <si>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</si>
  <si>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</si>
  <si>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</si>
  <si>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</si>
  <si>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</si>
  <si>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</si>
  <si>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</si>
  <si>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</si>
  <si>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</si>
  <si>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</si>
  <si>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</si>
  <si>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</si>
  <si>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</si>
  <si>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</si>
  <si>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</si>
  <si>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</si>
  <si>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</si>
  <si>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</si>
  <si>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</si>
  <si>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</si>
  <si>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</si>
  <si>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</si>
  <si>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</si>
  <si>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</si>
  <si>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</si>
  <si>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</si>
  <si>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</si>
  <si>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</si>
  <si>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</si>
  <si>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</si>
  <si>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</si>
  <si>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</si>
  <si>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</si>
  <si>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</si>
  <si>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</si>
  <si>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</si>
  <si>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</si>
  <si>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</si>
  <si>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</si>
  <si>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</si>
  <si>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</si>
  <si>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</si>
  <si>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</si>
  <si>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</si>
  <si>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</si>
  <si>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</si>
  <si>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</si>
  <si>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</si>
  <si>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</si>
  <si>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</si>
  <si>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</si>
  <si>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</si>
  <si>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</si>
  <si>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</si>
  <si>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</si>
  <si>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</si>
  <si>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</si>
  <si>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</si>
  <si>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</si>
  <si>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</si>
  <si>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</si>
  <si>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</si>
  <si>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</si>
  <si>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</si>
  <si>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</si>
  <si>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</si>
  <si>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</si>
  <si>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</si>
  <si>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</si>
  <si>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</si>
  <si>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</si>
  <si>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</si>
  <si>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</si>
  <si>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</si>
  <si>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</si>
  <si>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</si>
  <si>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</si>
  <si>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</si>
  <si>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</si>
  <si>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</si>
  <si>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</si>
  <si>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</si>
  <si>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</si>
  <si>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</si>
  <si>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</si>
  <si>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</si>
  <si>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</si>
  <si>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</si>
  <si>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</si>
  <si>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</si>
  <si>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</si>
  <si>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</si>
  <si>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</si>
  <si>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</si>
  <si>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</si>
  <si>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</si>
  <si>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</si>
  <si>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</si>
  <si>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</si>
  <si>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</si>
  <si>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</si>
  <si>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</si>
  <si>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</si>
  <si>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</si>
  <si>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</si>
  <si>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</si>
  <si>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</si>
  <si>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</si>
  <si>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</si>
  <si>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</si>
  <si>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</si>
  <si>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</si>
  <si>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</si>
  <si>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</si>
  <si>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</si>
  <si>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</si>
  <si>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</si>
  <si>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</si>
  <si>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</si>
  <si>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</si>
  <si>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</si>
  <si>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</si>
  <si>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</si>
  <si>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</si>
  <si>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</si>
  <si>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</si>
  <si>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</si>
  <si>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</si>
  <si>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</si>
  <si>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</si>
  <si>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</si>
  <si>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</si>
  <si>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</si>
  <si>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</si>
  <si>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</si>
  <si>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</si>
  <si>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</si>
  <si>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</si>
  <si>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</si>
  <si>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</si>
  <si>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</si>
  <si>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</si>
  <si>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</si>
  <si>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</si>
  <si>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</si>
  <si>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</si>
  <si>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</si>
  <si>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</si>
  <si>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</si>
  <si>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</si>
  <si>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</si>
  <si>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</si>
  <si>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</si>
  <si>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</si>
  <si>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</si>
  <si>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</si>
  <si>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</si>
  <si>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</si>
  <si>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</si>
  <si>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</si>
  <si>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</si>
  <si>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</si>
  <si>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</si>
  <si>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</si>
  <si>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</si>
  <si>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</si>
  <si>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</si>
  <si>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</si>
  <si>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</si>
  <si>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</si>
  <si>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</si>
  <si>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</si>
  <si>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</si>
  <si>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</si>
  <si>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</si>
  <si>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</si>
  <si>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</si>
  <si>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</si>
  <si>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</si>
  <si>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</si>
  <si>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</si>
  <si>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</si>
  <si>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</si>
  <si>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</si>
  <si>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</si>
  <si>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</si>
  <si>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</si>
  <si>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</si>
  <si>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</si>
  <si>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</si>
  <si>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</si>
  <si>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</si>
  <si>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</si>
  <si>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</si>
  <si>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</si>
  <si>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</si>
  <si>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</si>
  <si>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</si>
  <si>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</si>
  <si>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</si>
  <si>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</si>
  <si>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</si>
  <si>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</si>
  <si>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</si>
  <si>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</si>
  <si>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</si>
  <si>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</si>
  <si>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</si>
  <si>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</si>
  <si>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</si>
  <si>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</si>
  <si>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</si>
  <si>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</si>
  <si>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</si>
  <si>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</si>
  <si>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</si>
  <si>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</si>
  <si>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</si>
  <si>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</si>
  <si>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</si>
  <si>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</si>
  <si>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</si>
  <si>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</si>
  <si>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</si>
  <si>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</si>
  <si>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</si>
  <si>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</si>
  <si>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</si>
  <si>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</si>
  <si>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</si>
  <si>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</si>
  <si>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</si>
  <si>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</si>
  <si>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</si>
  <si>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</si>
  <si>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</si>
  <si>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</si>
  <si>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</si>
  <si>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</si>
  <si>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</si>
  <si>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</si>
  <si>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</si>
  <si>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</si>
  <si>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</si>
  <si>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</si>
  <si>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</si>
  <si>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</si>
  <si>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</si>
  <si>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</si>
  <si>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</si>
  <si>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</si>
  <si>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</si>
  <si>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</si>
  <si>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</si>
  <si>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</si>
  <si>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</si>
  <si>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</si>
  <si>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</si>
  <si>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</si>
  <si>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</si>
  <si>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</si>
  <si>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</si>
  <si>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</si>
  <si>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</si>
  <si>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</si>
  <si>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</si>
  <si>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</si>
  <si>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</si>
  <si>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</si>
  <si>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</si>
  <si>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</si>
  <si>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</si>
  <si>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</si>
  <si>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</si>
  <si>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</si>
  <si>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</si>
  <si>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</si>
  <si>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</si>
  <si>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</si>
  <si>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</si>
  <si>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</si>
  <si>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</si>
  <si>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</si>
  <si>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</si>
  <si>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</si>
  <si>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</si>
  <si>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</si>
  <si>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</si>
  <si>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</si>
  <si>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</si>
  <si>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</si>
  <si>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</si>
  <si>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</si>
  <si>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</si>
  <si>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</si>
  <si>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</si>
  <si>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</si>
  <si>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</si>
  <si>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</si>
  <si>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</si>
  <si>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</si>
  <si>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</si>
  <si>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</si>
  <si>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</si>
  <si>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</si>
  <si>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</si>
  <si>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</si>
  <si>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</si>
  <si>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</si>
  <si>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</si>
  <si>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</si>
  <si>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</si>
  <si>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</si>
  <si>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</si>
  <si>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</si>
  <si>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</si>
  <si>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</si>
  <si>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</si>
  <si>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</si>
  <si>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</si>
  <si>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</si>
  <si>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</si>
  <si>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</si>
  <si>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</si>
  <si>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</si>
  <si>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</si>
  <si>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</si>
  <si>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</si>
  <si>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</si>
  <si>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</si>
  <si>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</si>
  <si>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</si>
  <si>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</si>
  <si>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</si>
  <si>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</si>
  <si>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</si>
  <si>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</si>
  <si>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</si>
  <si>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</si>
  <si>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</si>
  <si>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</si>
  <si>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</si>
  <si>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</si>
  <si>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</si>
  <si>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</si>
  <si>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</si>
  <si>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</si>
  <si>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</si>
  <si>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</si>
  <si>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</si>
  <si>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</si>
  <si>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</si>
  <si>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</si>
  <si>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</si>
  <si>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</si>
  <si>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</si>
  <si>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</si>
  <si>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</si>
  <si>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</si>
  <si>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</si>
  <si>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</si>
  <si>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</si>
  <si>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</si>
  <si>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</si>
  <si>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</si>
  <si>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</si>
  <si>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</si>
  <si>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</si>
  <si>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</si>
  <si>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</si>
  <si>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</si>
  <si>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</si>
  <si>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</si>
  <si>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</si>
  <si>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</si>
  <si>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</si>
  <si>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</si>
  <si>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</si>
  <si>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</si>
  <si>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</si>
  <si>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</si>
  <si>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</si>
  <si>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</si>
  <si>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</si>
  <si>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</si>
  <si>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</si>
  <si>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</si>
  <si>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</si>
  <si>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</si>
  <si>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</si>
  <si>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</si>
  <si>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</si>
  <si>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</si>
  <si>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</si>
  <si>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</si>
  <si>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</si>
  <si>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</si>
  <si>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</si>
  <si>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</si>
  <si>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</si>
  <si>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</si>
  <si>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</si>
  <si>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</si>
  <si>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</si>
  <si>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</si>
  <si>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</si>
  <si>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</si>
  <si>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</si>
  <si>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</si>
  <si>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</si>
  <si>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</si>
  <si>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</si>
  <si>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</si>
  <si>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</si>
  <si>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</si>
  <si>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</si>
  <si>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</si>
  <si>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</si>
  <si>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</si>
  <si>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</si>
  <si>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</si>
  <si>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</si>
  <si>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</si>
  <si>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</si>
  <si>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</si>
  <si>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</si>
  <si>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</si>
  <si>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</si>
  <si>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</si>
  <si>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</si>
  <si>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</si>
  <si>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</si>
  <si>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</si>
  <si>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</si>
  <si>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</si>
  <si>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</si>
  <si>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</si>
  <si>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</si>
  <si>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</si>
  <si>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</si>
  <si>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</si>
  <si>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</si>
  <si>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</si>
  <si>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</si>
  <si>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</si>
  <si>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</si>
  <si>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</si>
  <si>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</si>
  <si>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</si>
  <si>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</si>
  <si>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</si>
  <si>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</si>
  <si>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</si>
  <si>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</si>
  <si>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</si>
  <si>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</si>
  <si>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</si>
  <si>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</si>
  <si>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</si>
  <si>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</si>
  <si>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</si>
  <si>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</si>
  <si>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</si>
  <si>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</si>
  <si>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</si>
  <si>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</si>
  <si>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</si>
  <si>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</si>
  <si>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</si>
  <si>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</si>
  <si>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</si>
  <si>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</si>
  <si>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</si>
  <si>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</si>
  <si>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</si>
  <si>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</si>
  <si>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</si>
  <si>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</si>
  <si>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</si>
  <si>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</si>
  <si>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</si>
  <si>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</si>
  <si>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</si>
  <si>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</si>
  <si>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</si>
  <si>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</si>
  <si>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</si>
  <si>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</si>
  <si>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</si>
  <si>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</si>
  <si>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</si>
  <si>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</si>
  <si>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</si>
  <si>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</si>
  <si>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</si>
  <si>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</si>
  <si>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</si>
  <si>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</si>
  <si>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</si>
  <si>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</si>
  <si>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</si>
  <si>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</si>
  <si>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</si>
  <si>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</si>
  <si>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</si>
  <si>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</si>
  <si>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</si>
  <si>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</si>
  <si>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</si>
  <si>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</si>
  <si>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</si>
  <si>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</si>
  <si>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</si>
  <si>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</si>
  <si>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</si>
  <si>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</si>
  <si>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</si>
  <si>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</si>
  <si>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</si>
  <si>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</si>
  <si>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</si>
  <si>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</si>
  <si>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</si>
  <si>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</si>
  <si>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</si>
  <si>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</si>
  <si>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</si>
  <si>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</si>
  <si>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</si>
  <si>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</si>
  <si>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</si>
  <si>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</si>
  <si>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</si>
  <si>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</si>
  <si>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</si>
  <si>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</si>
  <si>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</si>
  <si>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</si>
  <si>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</si>
  <si>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</si>
  <si>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</si>
  <si>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</si>
  <si>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</si>
  <si>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</si>
  <si>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</si>
  <si>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</si>
  <si>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</si>
  <si>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</si>
  <si>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</si>
  <si>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</si>
  <si>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</si>
  <si>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</si>
  <si>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</si>
  <si>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</si>
  <si>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</si>
  <si>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</si>
  <si>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</si>
  <si>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</si>
  <si>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</si>
  <si>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</si>
  <si>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</si>
  <si>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</si>
  <si>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</si>
  <si>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</si>
  <si>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</si>
  <si>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</si>
  <si>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</si>
  <si>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</si>
  <si>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</si>
  <si>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</si>
  <si>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</si>
  <si>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</si>
  <si>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</si>
  <si>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</si>
  <si>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</si>
  <si>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</si>
  <si>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</si>
  <si>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</si>
  <si>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</si>
  <si>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</si>
  <si>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</si>
  <si>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</si>
  <si>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</si>
  <si>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</si>
  <si>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</si>
  <si>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</si>
  <si>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</si>
  <si>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</si>
  <si>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</si>
  <si>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</si>
  <si>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</si>
  <si>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</si>
  <si>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</si>
  <si>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</si>
  <si>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</si>
  <si>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</si>
  <si>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</si>
  <si>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</si>
  <si>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</si>
  <si>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</si>
  <si>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</si>
  <si>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</si>
  <si>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</si>
  <si>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</si>
  <si>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</si>
  <si>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</si>
  <si>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</si>
  <si>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</si>
  <si>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</si>
  <si>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</si>
  <si>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</si>
  <si>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</si>
  <si>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</si>
  <si>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</si>
  <si>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</si>
  <si>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</si>
  <si>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</si>
  <si>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</si>
  <si>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</si>
  <si>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</si>
  <si>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</si>
  <si>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</si>
  <si>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</si>
  <si>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</si>
  <si>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</si>
  <si>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</si>
  <si>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</si>
  <si>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</si>
  <si>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</si>
  <si>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</si>
  <si>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</si>
  <si>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</si>
  <si>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</si>
  <si>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</si>
  <si>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</si>
  <si>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</si>
  <si>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</si>
  <si>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</si>
  <si>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</si>
  <si>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</si>
  <si>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</si>
  <si>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</si>
  <si>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</si>
  <si>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</si>
  <si>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</si>
  <si>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</si>
  <si>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</si>
  <si>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</si>
  <si>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</si>
  <si>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</si>
  <si>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</si>
  <si>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</si>
  <si>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</si>
  <si>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</si>
  <si>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</si>
  <si>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</si>
  <si>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</si>
  <si>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</si>
  <si>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</si>
  <si>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</si>
  <si>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</si>
  <si>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</si>
  <si>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</si>
  <si>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</si>
  <si>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</si>
  <si>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</si>
  <si>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</si>
  <si>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</si>
  <si>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</si>
  <si>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</si>
  <si>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</si>
  <si>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</si>
  <si>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</si>
  <si>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</si>
  <si>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</si>
  <si>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</si>
  <si>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</si>
  <si>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</si>
  <si>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</si>
  <si>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</si>
  <si>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</si>
  <si>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</si>
  <si>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</si>
  <si>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</si>
  <si>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</si>
  <si>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</si>
  <si>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</si>
  <si>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</si>
  <si>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</si>
  <si>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</si>
  <si>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</si>
  <si>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</si>
  <si>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</si>
  <si>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</si>
  <si>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</si>
  <si>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</si>
  <si>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</si>
  <si>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</si>
  <si>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</si>
  <si>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</si>
  <si>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</si>
  <si>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</si>
  <si>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</si>
  <si>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</si>
  <si>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</si>
  <si>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</si>
  <si>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</si>
  <si>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</si>
  <si>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</si>
  <si>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</si>
  <si>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</si>
  <si>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</si>
  <si>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</si>
  <si>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</si>
  <si>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</si>
  <si>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</si>
  <si>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</si>
  <si>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</si>
  <si>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</si>
  <si>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</si>
  <si>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</si>
  <si>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</si>
  <si>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</si>
  <si>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</si>
  <si>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</si>
  <si>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</si>
  <si>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</si>
  <si>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</si>
  <si>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</si>
  <si>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</si>
  <si>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</si>
  <si>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</si>
  <si>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</si>
  <si>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</si>
  <si>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</si>
  <si>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</si>
  <si>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</si>
  <si>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</si>
  <si>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</si>
  <si>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</si>
  <si>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</si>
  <si>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</si>
  <si>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</si>
  <si>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</si>
  <si>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</si>
  <si>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</si>
  <si>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</si>
  <si>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</si>
  <si>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</si>
  <si>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</si>
  <si>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</si>
  <si>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</si>
  <si>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</si>
  <si>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</si>
  <si>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</si>
  <si>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</si>
  <si>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</si>
  <si>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</si>
  <si>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</si>
  <si>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</si>
  <si>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</si>
  <si>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</si>
  <si>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</si>
  <si>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</si>
  <si>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</si>
  <si>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</si>
  <si>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</si>
  <si>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</si>
  <si>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</si>
  <si>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</si>
  <si>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</si>
  <si>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</si>
  <si>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</si>
  <si>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</si>
  <si>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</si>
  <si>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</si>
  <si>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</si>
  <si>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</si>
  <si>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</si>
  <si>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</si>
  <si>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</si>
  <si>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</si>
  <si>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</si>
  <si>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</si>
  <si>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</si>
  <si>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</si>
  <si>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</si>
  <si>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</si>
  <si>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</si>
  <si>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</si>
  <si>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</si>
  <si>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</si>
  <si>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</si>
  <si>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</si>
  <si>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</si>
  <si>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</si>
  <si>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</si>
  <si>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</si>
  <si>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</si>
  <si>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</si>
  <si>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</si>
  <si>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</si>
  <si>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</si>
  <si>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</si>
  <si>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</si>
  <si>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</si>
  <si>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</si>
  <si>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</si>
  <si>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</si>
  <si>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</si>
  <si>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</si>
  <si>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</si>
  <si>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</si>
  <si>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</si>
  <si>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</si>
  <si>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</si>
  <si>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</si>
  <si>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</si>
  <si>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</si>
  <si>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</si>
  <si>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</si>
  <si>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</si>
  <si>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</si>
  <si>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</si>
  <si>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</si>
  <si>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</si>
  <si>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</si>
  <si>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</si>
  <si>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</si>
  <si>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</si>
  <si>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</si>
  <si>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</si>
  <si>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</si>
  <si>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</si>
  <si>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</si>
  <si>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</si>
  <si>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</si>
  <si>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</si>
  <si>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</si>
  <si>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</si>
  <si>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</si>
  <si>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</si>
  <si>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</si>
  <si>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</si>
  <si>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</si>
  <si>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</si>
  <si>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</si>
  <si>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</si>
  <si>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</si>
  <si>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</si>
  <si>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</si>
  <si>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</si>
  <si>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</si>
  <si>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</si>
  <si>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</si>
  <si>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</si>
  <si>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</si>
  <si>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</si>
  <si>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</si>
  <si>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</si>
  <si>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</si>
  <si>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</si>
  <si>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</si>
  <si>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</si>
  <si>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</si>
  <si>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</si>
  <si>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</si>
  <si>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</si>
  <si>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</si>
  <si>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</si>
  <si>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</si>
  <si>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</si>
  <si>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</si>
  <si>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</si>
  <si>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</si>
  <si>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</si>
  <si>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</si>
  <si>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</si>
  <si>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</si>
  <si>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</si>
  <si>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</si>
  <si>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</si>
  <si>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</si>
  <si>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</si>
  <si>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</si>
  <si>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</si>
  <si>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</si>
  <si>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</si>
  <si>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</si>
  <si>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</si>
  <si>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</si>
  <si>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</si>
  <si>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</si>
  <si>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</si>
  <si>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</si>
  <si>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</si>
  <si>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</si>
  <si>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</si>
  <si>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</si>
  <si>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</si>
  <si>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</si>
  <si>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</si>
  <si>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</si>
  <si>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</si>
  <si>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</si>
  <si>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</si>
  <si>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</si>
  <si>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</si>
  <si>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</si>
  <si>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</si>
  <si>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</si>
  <si>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</si>
  <si>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</si>
  <si>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</si>
  <si>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</si>
  <si>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</si>
  <si>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</si>
  <si>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</si>
  <si>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</si>
  <si>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</si>
  <si>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</si>
  <si>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</si>
  <si>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</si>
  <si>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</si>
  <si>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</si>
  <si>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</si>
  <si>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</si>
  <si>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</si>
  <si>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</si>
  <si>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</si>
  <si>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</si>
  <si>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</si>
  <si>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</si>
  <si>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</si>
  <si>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</si>
  <si>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</si>
  <si>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</si>
  <si>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</si>
  <si>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</si>
  <si>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</si>
  <si>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</si>
  <si>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</si>
  <si>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</si>
  <si>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</si>
  <si>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</si>
  <si>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</si>
  <si>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</si>
  <si>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</si>
  <si>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</si>
  <si>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</si>
  <si>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</si>
  <si>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</si>
  <si>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</si>
  <si>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</si>
  <si>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</si>
  <si>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</si>
  <si>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</si>
  <si>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</si>
  <si>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</si>
  <si>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</si>
  <si>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</si>
  <si>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</si>
  <si>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</si>
  <si>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</si>
  <si>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</si>
  <si>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</si>
  <si>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</si>
  <si>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</si>
  <si>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</si>
  <si>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</si>
  <si>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</si>
  <si>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</si>
  <si>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</si>
  <si>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</si>
  <si>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</si>
  <si>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</si>
  <si>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</si>
  <si>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</si>
  <si>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</si>
  <si>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</si>
  <si>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</si>
  <si>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</si>
  <si>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</si>
  <si>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</si>
  <si>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</si>
  <si>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</si>
  <si>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</si>
  <si>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</si>
  <si>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</si>
  <si>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</si>
  <si>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</si>
  <si>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</si>
  <si>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</si>
  <si>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</si>
  <si>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</si>
  <si>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</si>
  <si>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</si>
  <si>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</si>
  <si>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</si>
  <si>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</si>
  <si>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</si>
  <si>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</si>
  <si>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</si>
  <si>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</si>
  <si>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</si>
  <si>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</si>
  <si>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</si>
  <si>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</si>
  <si>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</si>
  <si>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</si>
  <si>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</si>
  <si>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</si>
  <si>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</si>
  <si>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</si>
  <si>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</si>
  <si>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</si>
  <si>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</si>
  <si>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</si>
  <si>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</si>
  <si>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</si>
  <si>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</si>
  <si>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</si>
  <si>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</si>
  <si>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</si>
  <si>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</si>
  <si>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</si>
  <si>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</si>
  <si>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</si>
  <si>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</si>
  <si>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</si>
  <si>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</si>
  <si>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</si>
  <si>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</si>
  <si>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</si>
  <si>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</si>
  <si>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</si>
  <si>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</si>
  <si>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</si>
  <si>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</si>
  <si>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</si>
  <si>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</si>
  <si>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</si>
  <si>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</si>
  <si>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</si>
  <si>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</si>
  <si>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</si>
  <si>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</si>
  <si>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</si>
  <si>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</si>
  <si>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</si>
  <si>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</si>
  <si>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</si>
  <si>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</si>
  <si>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</si>
  <si>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</si>
  <si>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</si>
  <si>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</si>
  <si>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</si>
  <si>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</si>
  <si>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</si>
  <si>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</si>
  <si>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</si>
  <si>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</si>
  <si>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</si>
  <si>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</si>
  <si>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</si>
  <si>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</si>
  <si>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</si>
  <si>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</si>
  <si>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</si>
  <si>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</si>
  <si>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</si>
  <si>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</si>
  <si>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</si>
  <si>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</si>
  <si>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</si>
  <si>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</si>
  <si>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</si>
  <si>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</si>
  <si>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</si>
  <si>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</si>
  <si>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</si>
  <si>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</si>
  <si>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</si>
  <si>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</si>
  <si>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</si>
  <si>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</si>
  <si>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</si>
  <si>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</si>
  <si>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</si>
  <si>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</si>
  <si>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</si>
  <si>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</si>
  <si>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</si>
  <si>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</si>
  <si>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</si>
  <si>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</si>
  <si>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</si>
  <si>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</si>
  <si>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</si>
  <si>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</si>
  <si>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</si>
  <si>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</si>
  <si>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</si>
  <si>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</si>
  <si>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</si>
  <si>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</si>
  <si>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</si>
  <si>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</si>
  <si>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</si>
  <si>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</si>
  <si>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</si>
  <si>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</si>
  <si>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</si>
  <si>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</si>
  <si>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</si>
  <si>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</si>
  <si>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</si>
  <si>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</si>
  <si>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</si>
  <si>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</si>
  <si>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</si>
  <si>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</si>
  <si>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</si>
  <si>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</si>
  <si>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</si>
  <si>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</si>
  <si>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</si>
  <si>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</si>
  <si>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</si>
  <si>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</si>
  <si>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</si>
  <si>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</si>
  <si>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</si>
  <si>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</si>
  <si>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</si>
  <si>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</si>
  <si>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</si>
  <si>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</si>
  <si>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</si>
  <si>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</si>
  <si>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</si>
  <si>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</si>
  <si>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</si>
  <si>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</si>
  <si>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</si>
  <si>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</si>
  <si>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</si>
  <si>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</si>
  <si>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</si>
  <si>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</si>
  <si>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</si>
  <si>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</si>
  <si>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</si>
  <si>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</si>
  <si>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</si>
  <si>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</si>
  <si>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</si>
  <si>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</si>
  <si>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</si>
  <si>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</si>
  <si>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</si>
  <si>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</si>
  <si>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</si>
  <si>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</si>
  <si>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</si>
  <si>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</si>
  <si>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</si>
  <si>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</si>
  <si>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</si>
  <si>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</si>
  <si>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</si>
  <si>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</si>
  <si>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</si>
  <si>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</si>
  <si>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</si>
  <si>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</si>
  <si>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</si>
  <si>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</si>
  <si>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</si>
  <si>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</si>
  <si>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</si>
  <si>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</si>
  <si>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</si>
  <si>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</si>
  <si>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</si>
  <si>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</si>
  <si>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</si>
  <si>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</si>
  <si>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</si>
  <si>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</si>
  <si>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</si>
  <si>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</si>
  <si>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</si>
  <si>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</si>
  <si>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</si>
  <si>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</si>
  <si>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</si>
  <si>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</si>
  <si>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</si>
  <si>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</si>
  <si>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</si>
  <si>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</si>
  <si>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</si>
  <si>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</si>
  <si>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</si>
  <si>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</si>
  <si>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</si>
  <si>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</si>
  <si>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</si>
  <si>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</si>
  <si>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</si>
  <si>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</si>
  <si>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</si>
  <si>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</si>
  <si>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</si>
  <si>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</si>
  <si>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</si>
  <si>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</si>
  <si>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</si>
  <si>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</si>
  <si>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</si>
  <si>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</si>
  <si>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</si>
  <si>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</si>
  <si>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</si>
  <si>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</si>
  <si>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</si>
  <si>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</si>
  <si>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</si>
  <si>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</si>
  <si>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</si>
  <si>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</si>
  <si>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</si>
  <si>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</si>
  <si>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</si>
  <si>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</si>
  <si>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</si>
  <si>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</si>
  <si>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</si>
  <si>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</si>
  <si>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</si>
  <si>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</si>
  <si>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</si>
  <si>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</si>
  <si>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</si>
  <si>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</si>
  <si>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</si>
  <si>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</si>
  <si>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</si>
  <si>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</si>
  <si>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</si>
  <si>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</si>
  <si>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</si>
  <si>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</si>
  <si>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</si>
  <si>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</si>
  <si>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</si>
  <si>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</si>
  <si>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</si>
  <si>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</si>
  <si>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</si>
  <si>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</si>
  <si>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</si>
  <si>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</si>
  <si>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</si>
  <si>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</si>
  <si>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</si>
  <si>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</si>
  <si>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</si>
  <si>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</si>
  <si>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</si>
  <si>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</si>
  <si>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</si>
  <si>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</si>
  <si>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</si>
  <si>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</si>
  <si>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</si>
  <si>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</si>
  <si>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</si>
  <si>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</si>
  <si>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</si>
  <si>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</si>
  <si>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</si>
  <si>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</si>
  <si>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</si>
  <si>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</si>
  <si>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</si>
  <si>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</si>
  <si>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</si>
  <si>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</si>
  <si>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</si>
  <si>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</si>
  <si>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</si>
  <si>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</si>
  <si>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</si>
  <si>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</si>
  <si>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</si>
  <si>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</si>
  <si>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</si>
  <si>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</si>
  <si>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</si>
  <si>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</si>
  <si>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</si>
  <si>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</si>
  <si>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</si>
  <si>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</si>
  <si>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</si>
  <si>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</si>
  <si>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</si>
  <si>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</si>
  <si>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</si>
  <si>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</si>
  <si>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</si>
  <si>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</si>
  <si>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</si>
  <si>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</si>
  <si>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</si>
  <si>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</si>
  <si>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</si>
  <si>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</si>
  <si>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</si>
  <si>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</si>
  <si>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</si>
  <si>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</si>
  <si>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</si>
  <si>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</si>
  <si>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</si>
  <si>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</si>
  <si>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</si>
  <si>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</si>
  <si>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</si>
  <si>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</si>
  <si>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</si>
  <si>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</si>
  <si>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</si>
  <si>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</si>
  <si>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</si>
  <si>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</si>
  <si>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</si>
  <si>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</si>
  <si>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</si>
  <si>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</si>
  <si>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</si>
  <si>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</si>
  <si>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</si>
  <si>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</si>
  <si>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</si>
  <si>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</si>
  <si>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</si>
  <si>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</si>
  <si>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</si>
  <si>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</si>
  <si>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</si>
  <si>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</si>
  <si>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</si>
  <si>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</si>
  <si>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</si>
  <si>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</si>
  <si>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</si>
  <si>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</si>
  <si>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</si>
  <si>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</si>
  <si>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</si>
  <si>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</si>
  <si>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</si>
  <si>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</si>
  <si>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</si>
  <si>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</si>
  <si>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</si>
  <si>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</si>
  <si>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</si>
  <si>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</si>
  <si>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</si>
  <si>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</si>
  <si>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</si>
  <si>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</si>
  <si>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</si>
  <si>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</si>
  <si>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</si>
  <si>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</si>
  <si>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</si>
  <si>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</si>
  <si>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</si>
  <si>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</si>
  <si>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</si>
  <si>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</si>
  <si>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</si>
  <si>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</si>
  <si>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</si>
  <si>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</si>
  <si>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</si>
  <si>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</si>
  <si>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</si>
  <si>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</si>
  <si>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</si>
  <si>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</si>
  <si>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</si>
  <si>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</si>
  <si>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</si>
  <si>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</si>
  <si>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</si>
  <si>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</si>
  <si>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</si>
  <si>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</si>
  <si>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</si>
  <si>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</si>
  <si>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</si>
  <si>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</si>
  <si>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</si>
  <si>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</si>
  <si>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</si>
  <si>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</si>
  <si>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</si>
  <si>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</si>
  <si>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</si>
  <si>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</si>
  <si>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</si>
  <si>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</si>
  <si>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</si>
  <si>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</si>
  <si>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</si>
  <si>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</si>
  <si>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</si>
  <si>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</si>
  <si>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</si>
  <si>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</si>
  <si>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</si>
  <si>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</si>
  <si>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</si>
  <si>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</si>
  <si>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</si>
  <si>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</si>
  <si>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</si>
  <si>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</si>
  <si>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</si>
  <si>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</si>
  <si>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</si>
  <si>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</si>
  <si>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</si>
  <si>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</si>
  <si>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</si>
  <si>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</si>
  <si>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</si>
  <si>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</si>
  <si>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</si>
  <si>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</si>
  <si>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</si>
  <si>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</si>
  <si>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</si>
  <si>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</si>
  <si>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</si>
  <si>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</si>
  <si>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</si>
  <si>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</si>
  <si>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</si>
  <si>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</si>
  <si>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</si>
  <si>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</si>
  <si>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</si>
  <si>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</si>
  <si>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</si>
  <si>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</si>
  <si>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</si>
  <si>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</si>
  <si>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</si>
  <si>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</si>
  <si>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</si>
  <si>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</si>
  <si>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</si>
  <si>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</si>
  <si>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</si>
  <si>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</si>
  <si>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</si>
  <si>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</si>
  <si>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</si>
  <si>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</si>
  <si>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</si>
  <si>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</si>
  <si>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</si>
  <si>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</si>
  <si>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</si>
  <si>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</si>
  <si>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</si>
  <si>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</si>
  <si>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</si>
  <si>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</si>
  <si>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</si>
  <si>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</si>
  <si>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</si>
  <si>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</si>
  <si>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</si>
  <si>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</si>
  <si>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</si>
  <si>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</si>
  <si>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</si>
  <si>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</si>
  <si>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</si>
  <si>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</si>
  <si>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</si>
  <si>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</si>
  <si>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</si>
  <si>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</si>
  <si>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</si>
  <si>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</si>
  <si>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</si>
  <si>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</si>
  <si>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</si>
  <si>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</si>
  <si>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</si>
  <si>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</si>
  <si>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</si>
  <si>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</si>
  <si>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</si>
  <si>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</si>
  <si>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</si>
  <si>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</si>
  <si>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</si>
  <si>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</si>
  <si>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</si>
  <si>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</si>
  <si>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</si>
  <si>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</si>
  <si>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</si>
  <si>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</si>
  <si>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</si>
  <si>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</si>
  <si>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</si>
  <si>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</si>
  <si>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</si>
  <si>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</si>
  <si>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</si>
  <si>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</si>
  <si>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</si>
  <si>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</si>
  <si>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</si>
  <si>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</si>
  <si>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</si>
  <si>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</si>
  <si>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</si>
  <si>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</si>
  <si>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</si>
  <si>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</si>
  <si>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</si>
  <si>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</si>
  <si>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</si>
  <si>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</si>
  <si>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</si>
  <si>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</si>
  <si>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</si>
  <si>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</si>
  <si>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</si>
  <si>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</si>
  <si>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</si>
  <si>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</si>
  <si>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</si>
  <si>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</si>
  <si>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</si>
  <si>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</si>
  <si>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</si>
  <si>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</si>
  <si>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</si>
  <si>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</si>
  <si>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</si>
  <si>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</si>
  <si>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</si>
  <si>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</si>
  <si>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</si>
  <si>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</si>
  <si>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</si>
  <si>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</si>
  <si>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</si>
  <si>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</si>
  <si>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</si>
  <si>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</si>
  <si>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</si>
  <si>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</si>
  <si>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</si>
  <si>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</si>
  <si>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</si>
  <si>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</si>
  <si>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</si>
  <si>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</si>
  <si>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</si>
  <si>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</si>
  <si>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</si>
  <si>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</si>
  <si>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</si>
  <si>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</si>
  <si>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</si>
  <si>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</si>
  <si>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</si>
  <si>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</si>
  <si>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</si>
  <si>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</si>
  <si>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</si>
  <si>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</si>
  <si>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</si>
  <si>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</si>
  <si>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</si>
  <si>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</si>
  <si>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</si>
  <si>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</si>
  <si>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</si>
  <si>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</si>
  <si>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</si>
  <si>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</si>
  <si>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</si>
  <si>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</si>
  <si>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</si>
  <si>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</si>
  <si>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</si>
  <si>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</si>
  <si>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</si>
  <si>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</si>
  <si>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</si>
  <si>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</si>
  <si>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</si>
  <si>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</si>
  <si>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</si>
  <si>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</si>
  <si>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</si>
  <si>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</si>
  <si>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</si>
  <si>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</si>
  <si>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</si>
  <si>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</si>
  <si>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</si>
  <si>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</si>
  <si>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</si>
  <si>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</si>
  <si>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</si>
  <si>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</si>
  <si>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</si>
  <si>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</si>
  <si>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</si>
  <si>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</si>
  <si>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</si>
  <si>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</si>
  <si>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</si>
  <si>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</si>
  <si>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</si>
  <si>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</si>
  <si>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</si>
  <si>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</si>
  <si>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</si>
  <si>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</si>
  <si>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</si>
  <si>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</si>
  <si>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</si>
  <si>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</si>
  <si>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</si>
  <si>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</si>
  <si>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</si>
  <si>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</si>
  <si>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</si>
  <si>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</si>
  <si>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</si>
  <si>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</si>
  <si>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</si>
  <si>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</si>
  <si>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</si>
  <si>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</si>
  <si>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</si>
  <si>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</si>
  <si>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</si>
  <si>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</si>
  <si>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</si>
  <si>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</si>
  <si>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</si>
  <si>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</si>
  <si>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</si>
  <si>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</si>
  <si>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</si>
  <si>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</si>
  <si>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</si>
  <si>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</si>
  <si>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</si>
  <si>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</si>
  <si>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</si>
  <si>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</si>
  <si>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</si>
  <si>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</si>
  <si>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</si>
  <si>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</si>
  <si>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</si>
  <si>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</si>
  <si>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</si>
  <si>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</si>
  <si>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</si>
  <si>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</si>
  <si>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</si>
  <si>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</si>
  <si>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</si>
  <si>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</si>
  <si>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</si>
  <si>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</si>
  <si>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</si>
  <si>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</si>
  <si>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</si>
  <si>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</si>
  <si>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</si>
  <si>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</si>
  <si>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</si>
  <si>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</si>
  <si>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</si>
  <si>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</si>
  <si>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</si>
  <si>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</si>
  <si>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</si>
  <si>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</si>
  <si>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</si>
  <si>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</si>
  <si>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</si>
  <si>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</si>
  <si>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</si>
  <si>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</si>
  <si>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</si>
  <si>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</si>
  <si>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</si>
  <si>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</si>
  <si>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</si>
  <si>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</si>
  <si>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</si>
  <si>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</si>
  <si>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</si>
  <si>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</si>
  <si>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</si>
  <si>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</si>
  <si>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</si>
  <si>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</si>
  <si>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</si>
  <si>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</si>
  <si>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</si>
  <si>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</si>
  <si>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</si>
  <si>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</si>
  <si>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</si>
  <si>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</si>
  <si>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</si>
  <si>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</si>
  <si>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</si>
  <si>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</si>
  <si>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</si>
  <si>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</si>
  <si>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</si>
  <si>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</si>
  <si>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</si>
  <si>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</si>
  <si>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</si>
  <si>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</si>
  <si>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</si>
  <si>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</si>
  <si>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</si>
  <si>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</si>
  <si>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</si>
  <si>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</si>
  <si>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</si>
  <si>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</si>
  <si>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</si>
  <si>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</si>
  <si>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</si>
  <si>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</si>
  <si>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</si>
  <si>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</si>
  <si>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</si>
  <si>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</si>
  <si>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</si>
  <si>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</si>
  <si>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</si>
  <si>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</si>
  <si>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</si>
  <si>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</si>
  <si>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</si>
  <si>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</si>
  <si>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</si>
  <si>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</si>
  <si>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</si>
  <si>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</si>
  <si>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</si>
  <si>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</si>
  <si>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</si>
  <si>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</si>
  <si>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</si>
  <si>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</si>
  <si>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</si>
  <si>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</si>
  <si>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</si>
  <si>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</si>
  <si>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</si>
  <si>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</si>
  <si>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</si>
  <si>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</si>
  <si>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</si>
  <si>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</si>
  <si>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</si>
  <si>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</si>
  <si>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</si>
  <si>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</si>
  <si>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</si>
  <si>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</si>
  <si>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</si>
  <si>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</si>
  <si>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</si>
  <si>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</si>
  <si>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</si>
  <si>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</si>
  <si>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</si>
  <si>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</si>
  <si>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</si>
  <si>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</si>
  <si>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</si>
  <si>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</si>
  <si>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</si>
  <si>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</si>
  <si>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</si>
  <si>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</si>
  <si>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</si>
  <si>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</si>
  <si>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</si>
  <si>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</si>
  <si>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</si>
  <si>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</si>
  <si>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</si>
  <si>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</si>
  <si>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</si>
  <si>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</si>
  <si>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</si>
  <si>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</si>
  <si>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</si>
  <si>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</si>
  <si>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</si>
  <si>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</si>
  <si>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</si>
  <si>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</si>
  <si>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</si>
  <si>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</si>
  <si>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</si>
  <si>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</si>
  <si>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</si>
  <si>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</si>
  <si>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</si>
  <si>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</si>
  <si>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</si>
  <si>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</si>
  <si>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</si>
  <si>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</si>
  <si>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</si>
  <si>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</si>
  <si>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</si>
  <si>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</si>
  <si>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</si>
  <si>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</si>
  <si>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</si>
  <si>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</si>
  <si>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</si>
  <si>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</si>
  <si>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</si>
  <si>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</si>
  <si>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</si>
  <si>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</si>
  <si>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</si>
  <si>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</si>
  <si>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</si>
  <si>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</si>
  <si>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</si>
  <si>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</si>
  <si>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</si>
  <si>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</si>
  <si>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</si>
  <si>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</si>
  <si>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</si>
  <si>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</si>
  <si>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</si>
  <si>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</si>
  <si>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</si>
  <si>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</si>
  <si>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</si>
  <si>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</si>
  <si>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</si>
  <si>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</si>
  <si>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</si>
  <si>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</si>
  <si>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</si>
  <si>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</si>
  <si>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</si>
  <si>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</si>
  <si>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</si>
  <si>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</si>
  <si>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</si>
  <si>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</si>
  <si>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</si>
  <si>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</si>
  <si>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</si>
  <si>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</si>
  <si>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</si>
  <si>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</si>
  <si>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</si>
  <si>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</si>
  <si>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</si>
  <si>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</si>
  <si>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</si>
  <si>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</si>
  <si>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</si>
  <si>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</si>
  <si>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</si>
  <si>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</si>
  <si>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</si>
  <si>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</si>
  <si>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</si>
  <si>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</si>
  <si>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</si>
  <si>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</si>
  <si>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</si>
  <si>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</si>
  <si>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</si>
  <si>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</si>
  <si>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</si>
  <si>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</si>
  <si>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</si>
  <si>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</si>
  <si>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</si>
  <si>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</si>
  <si>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</si>
  <si>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</si>
  <si>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</si>
  <si>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</si>
  <si>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</si>
  <si>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</si>
  <si>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</si>
  <si>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</si>
  <si>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</si>
  <si>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</si>
  <si>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</si>
  <si>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</si>
  <si>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</si>
  <si>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</si>
  <si>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</si>
  <si>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</si>
  <si>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</si>
  <si>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</si>
  <si>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</si>
  <si>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</si>
  <si>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</si>
  <si>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</si>
  <si>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</si>
  <si>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</si>
  <si>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</si>
  <si>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</si>
  <si>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</si>
  <si>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</si>
  <si>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</si>
  <si>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</si>
  <si>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</si>
  <si>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</si>
  <si>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</si>
  <si>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</si>
  <si>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</si>
  <si>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</si>
  <si>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</si>
  <si>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</si>
  <si>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</si>
  <si>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</si>
  <si>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</si>
  <si>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</si>
  <si>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</si>
  <si>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</si>
  <si>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</si>
  <si>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</si>
  <si>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</si>
  <si>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</si>
  <si>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</si>
  <si>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</si>
  <si>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</si>
  <si>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</si>
  <si>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</si>
  <si>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</si>
  <si>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</si>
  <si>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</si>
  <si>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</si>
  <si>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</si>
  <si>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</si>
  <si>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</si>
  <si>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</si>
  <si>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</si>
  <si>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</si>
  <si>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</si>
  <si>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</si>
  <si>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</si>
  <si>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</si>
  <si>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</si>
  <si>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</si>
  <si>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</si>
  <si>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</si>
  <si>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</si>
  <si>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</si>
  <si>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</si>
  <si>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</si>
  <si>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</si>
  <si>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</si>
  <si>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</si>
  <si>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</si>
  <si>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</si>
  <si>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</si>
  <si>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</si>
  <si>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</si>
  <si>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</si>
  <si>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</si>
  <si>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</si>
  <si>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</si>
  <si>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</si>
  <si>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</si>
  <si>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</si>
  <si>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</si>
  <si>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</si>
  <si>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</si>
  <si>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</si>
  <si>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</si>
  <si>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</si>
  <si>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</si>
  <si>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</si>
  <si>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</si>
  <si>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</si>
  <si>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</si>
  <si>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</si>
  <si>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</si>
  <si>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</si>
  <si>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</si>
  <si>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</si>
  <si>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</si>
  <si>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</si>
  <si>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</si>
  <si>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</si>
  <si>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</si>
  <si>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</si>
  <si>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</si>
  <si>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</si>
  <si>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</si>
  <si>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</si>
  <si>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</si>
  <si>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</si>
  <si>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</si>
  <si>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</si>
  <si>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</si>
  <si>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</si>
  <si>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</si>
  <si>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</si>
  <si>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</si>
  <si>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</si>
  <si>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</si>
  <si>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</si>
  <si>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</si>
  <si>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</si>
  <si>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</si>
  <si>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</si>
  <si>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</si>
  <si>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</si>
  <si>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</si>
  <si>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</si>
  <si>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</si>
  <si>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</si>
  <si>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</si>
  <si>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</si>
  <si>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</si>
  <si>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</si>
  <si>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</si>
  <si>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</si>
  <si>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</si>
  <si>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</si>
  <si>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</si>
  <si>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</si>
  <si>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</si>
  <si>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</si>
  <si>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</si>
  <si>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</si>
  <si>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</si>
  <si>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</si>
  <si>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</si>
  <si>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</si>
  <si>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</si>
  <si>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</si>
  <si>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</si>
  <si>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</si>
  <si>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</si>
  <si>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</si>
  <si>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</si>
  <si>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</si>
  <si>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</si>
  <si>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</si>
  <si>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</si>
  <si>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</si>
  <si>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</si>
  <si>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</si>
  <si>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</si>
  <si>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</si>
  <si>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</si>
  <si>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</si>
  <si>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</si>
  <si>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</si>
  <si>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</si>
  <si>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</si>
  <si>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</si>
  <si>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</si>
  <si>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</si>
  <si>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</si>
  <si>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</si>
  <si>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</si>
  <si>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</si>
  <si>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</si>
  <si>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</si>
  <si>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</si>
  <si>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</si>
  <si>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</si>
  <si>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</si>
  <si>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</si>
  <si>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</si>
  <si>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</si>
  <si>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</si>
  <si>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</si>
  <si>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</si>
  <si>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</si>
  <si>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</si>
  <si>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</si>
  <si>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</si>
  <si>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</si>
  <si>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</si>
  <si>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</si>
  <si>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</si>
  <si>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</si>
  <si>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</si>
  <si>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</si>
  <si>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</si>
  <si>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</si>
  <si>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</si>
  <si>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</si>
  <si>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</si>
  <si>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</si>
  <si>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</si>
  <si>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</si>
  <si>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</si>
  <si>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</si>
  <si>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</si>
  <si>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</si>
  <si>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</si>
  <si>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</si>
  <si>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</si>
  <si>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</si>
  <si>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</si>
  <si>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</si>
  <si>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</si>
  <si>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</si>
  <si>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</si>
  <si>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</si>
  <si>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</si>
  <si>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</si>
  <si>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</si>
  <si>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</si>
  <si>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</si>
  <si>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</si>
  <si>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</si>
  <si>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</si>
  <si>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</si>
  <si>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</si>
  <si>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</si>
  <si>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</si>
  <si>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</si>
  <si>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</si>
  <si>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</si>
  <si>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</si>
  <si>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</si>
  <si>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</si>
  <si>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</si>
  <si>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</si>
  <si>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</si>
  <si>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</si>
  <si>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</si>
  <si>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</si>
  <si>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</si>
  <si>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</si>
  <si>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</si>
  <si>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</si>
  <si>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</si>
  <si>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</si>
  <si>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</si>
  <si>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</si>
  <si>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</si>
  <si>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</si>
  <si>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</si>
  <si>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</si>
  <si>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</si>
  <si>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</si>
  <si>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</si>
  <si>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</si>
  <si>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</si>
  <si>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</si>
  <si>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</si>
  <si>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</si>
  <si>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</si>
  <si>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</si>
  <si>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</si>
  <si>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</si>
  <si>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</si>
  <si>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</si>
  <si>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</si>
  <si>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</si>
  <si>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</si>
  <si>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</si>
  <si>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</si>
  <si>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</si>
  <si>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</si>
  <si>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</si>
  <si>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</si>
  <si>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</si>
  <si>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</si>
  <si>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</si>
  <si>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</si>
  <si>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</si>
  <si>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</si>
  <si>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</si>
  <si>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</si>
  <si>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</si>
  <si>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</si>
  <si>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</si>
  <si>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</si>
  <si>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</si>
  <si>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</si>
  <si>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</si>
  <si>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</si>
  <si>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</si>
  <si>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</si>
  <si>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</si>
  <si>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</si>
  <si>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</si>
  <si>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</si>
  <si>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</si>
  <si>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</si>
  <si>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</si>
  <si>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</si>
  <si>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</si>
  <si>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</si>
  <si>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</si>
  <si>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</si>
  <si>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</si>
  <si>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</si>
  <si>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</si>
  <si>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</si>
  <si>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</si>
  <si>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</si>
  <si>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</si>
  <si>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</si>
  <si>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</si>
  <si>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</si>
  <si>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</si>
  <si>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</si>
  <si>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</si>
  <si>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</si>
  <si>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</si>
  <si>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</si>
  <si>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</si>
  <si>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</si>
  <si>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</si>
  <si>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</si>
  <si>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</si>
  <si>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</si>
  <si>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</si>
  <si>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</si>
  <si>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</si>
  <si>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</si>
  <si>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</si>
  <si>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</si>
  <si>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</si>
  <si>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</si>
  <si>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</si>
  <si>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</si>
  <si>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</si>
  <si>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</si>
  <si>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</si>
  <si>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</si>
  <si>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</si>
  <si>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</si>
  <si>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</si>
  <si>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</si>
  <si>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</si>
  <si>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</si>
  <si>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</si>
  <si>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</si>
  <si>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</si>
  <si>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</si>
  <si>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</si>
  <si>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</si>
  <si>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</si>
  <si>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</si>
  <si>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</si>
  <si>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</si>
  <si>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</si>
  <si>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</si>
  <si>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</si>
  <si>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</si>
  <si>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</si>
  <si>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</si>
  <si>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</si>
  <si>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</si>
  <si>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</si>
  <si>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</si>
  <si>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</si>
  <si>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</si>
  <si>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</si>
  <si>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</si>
  <si>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</si>
  <si>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</si>
  <si>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</si>
  <si>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</si>
  <si>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</si>
  <si>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</si>
  <si>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</si>
  <si>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</si>
  <si>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</si>
  <si>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</si>
  <si>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</si>
  <si>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</si>
  <si>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</si>
  <si>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</si>
  <si>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</si>
  <si>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</si>
  <si>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</si>
  <si>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</si>
  <si>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</si>
  <si>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</si>
  <si>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</si>
  <si>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</si>
  <si>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</si>
  <si>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</si>
  <si>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</si>
  <si>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</si>
  <si>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</si>
  <si>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</si>
  <si>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</si>
  <si>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</si>
  <si>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</si>
  <si>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</si>
  <si>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</si>
  <si>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</si>
  <si>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</si>
  <si>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</si>
  <si>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</si>
  <si>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</si>
  <si>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</si>
  <si>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</si>
  <si>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</si>
  <si>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</si>
  <si>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</si>
  <si>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</si>
  <si>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</si>
  <si>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</si>
  <si>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</si>
  <si>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</si>
  <si>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</si>
  <si>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</si>
  <si>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</si>
  <si>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</si>
  <si>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</si>
  <si>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</si>
  <si>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</si>
  <si>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</si>
  <si>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</si>
  <si>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</si>
  <si>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</si>
  <si>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</si>
  <si>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</si>
  <si>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</si>
  <si>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</si>
  <si>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</si>
  <si>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</si>
  <si>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</si>
  <si>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</si>
  <si>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</si>
  <si>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</si>
  <si>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</si>
  <si>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</si>
  <si>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</si>
  <si>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</si>
  <si>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</si>
  <si>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</si>
  <si>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</si>
  <si>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</si>
  <si>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</si>
  <si>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</si>
  <si>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</si>
  <si>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</si>
  <si>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</si>
  <si>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</si>
  <si>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</si>
  <si>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</si>
  <si>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</si>
  <si>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</si>
  <si>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</si>
  <si>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</si>
  <si>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</si>
  <si>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</si>
  <si>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</si>
  <si>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</si>
  <si>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</si>
  <si>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</si>
  <si>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</si>
  <si>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</si>
  <si>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</si>
  <si>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</si>
  <si>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</si>
  <si>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</si>
  <si>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</si>
  <si>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</si>
  <si>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</si>
  <si>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</si>
  <si>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</si>
  <si>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</si>
  <si>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</si>
  <si>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</si>
  <si>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</si>
  <si>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</si>
  <si>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</si>
  <si>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</si>
  <si>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</si>
  <si>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</si>
  <si>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</si>
  <si>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</si>
  <si>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</si>
  <si>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</si>
  <si>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</si>
  <si>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</si>
  <si>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</si>
  <si>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</si>
  <si>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</si>
  <si>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</si>
  <si>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</si>
  <si>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</si>
  <si>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</si>
  <si>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</si>
  <si>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</si>
  <si>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</si>
  <si>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</si>
  <si>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</si>
  <si>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</si>
  <si>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</si>
  <si>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</si>
  <si>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</si>
  <si>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</si>
  <si>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</si>
  <si>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</si>
  <si>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</si>
  <si>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</si>
  <si>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</si>
  <si>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</si>
  <si>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</si>
  <si>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</si>
  <si>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</si>
  <si>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</si>
  <si>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</si>
  <si>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</si>
  <si>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</si>
  <si>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</si>
  <si>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</si>
  <si>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</si>
  <si>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</si>
  <si>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</si>
  <si>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</si>
  <si>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</si>
  <si>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</si>
  <si>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</si>
  <si>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</si>
  <si>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</si>
  <si>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</si>
  <si>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</si>
  <si>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</si>
  <si>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</si>
  <si>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</si>
  <si>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</si>
  <si>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</si>
  <si>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</si>
  <si>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</si>
  <si>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</si>
  <si>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</si>
  <si>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</si>
  <si>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</si>
  <si>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</si>
  <si>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</si>
  <si>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</si>
  <si>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</si>
  <si>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</si>
  <si>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</si>
  <si>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</si>
  <si>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</si>
  <si>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</si>
  <si>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</si>
  <si>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</si>
  <si>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</si>
  <si>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</si>
  <si>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</si>
  <si>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</si>
  <si>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</si>
  <si>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</si>
  <si>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</si>
  <si>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</si>
  <si>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</si>
  <si>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</si>
  <si>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</si>
  <si>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</si>
  <si>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</si>
  <si>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</si>
  <si>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</si>
  <si>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</si>
  <si>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</si>
  <si>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</si>
  <si>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</si>
  <si>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</si>
  <si>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</si>
  <si>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</si>
  <si>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</si>
  <si>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</si>
  <si>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</si>
  <si>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</si>
  <si>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</si>
  <si>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</si>
  <si>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</si>
  <si>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</si>
  <si>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</si>
  <si>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</si>
  <si>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</si>
  <si>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</si>
  <si>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</si>
  <si>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</si>
  <si>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</si>
  <si>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</si>
  <si>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</si>
  <si>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</si>
  <si>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</si>
  <si>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</si>
  <si>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</si>
  <si>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</si>
  <si>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</si>
  <si>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</si>
  <si>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</si>
  <si>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</si>
  <si>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</si>
  <si>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</si>
  <si>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</si>
  <si>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</si>
  <si>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</si>
  <si>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</si>
  <si>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</si>
  <si>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</si>
  <si>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</si>
  <si>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</si>
  <si>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</si>
  <si>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</si>
  <si>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</si>
  <si>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</si>
  <si>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</si>
  <si>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</si>
  <si>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</si>
  <si>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</si>
  <si>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</si>
  <si>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</si>
  <si>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</si>
  <si>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</si>
  <si>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</si>
  <si>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</si>
  <si>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</si>
  <si>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</si>
  <si>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</si>
  <si>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</si>
  <si>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</si>
  <si>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</si>
  <si>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</si>
  <si>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</si>
  <si>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</si>
  <si>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</si>
  <si>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</si>
  <si>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</si>
  <si>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</si>
  <si>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</si>
  <si>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</si>
  <si>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</si>
  <si>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</si>
  <si>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</si>
  <si>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</si>
  <si>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</si>
  <si>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</si>
  <si>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</si>
  <si>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</si>
  <si>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</si>
  <si>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</si>
  <si>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</si>
  <si>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</si>
  <si>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</si>
  <si>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</si>
  <si>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</si>
  <si>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</si>
  <si>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</si>
  <si>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</si>
  <si>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</si>
  <si>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</si>
  <si>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</si>
  <si>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</si>
  <si>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</si>
  <si>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</si>
  <si>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</si>
  <si>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</si>
  <si>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</si>
  <si>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</si>
  <si>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</si>
  <si>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</si>
  <si>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</si>
  <si>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</si>
  <si>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</si>
  <si>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</si>
  <si>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</si>
  <si>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</si>
  <si>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</si>
  <si>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</si>
  <si>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</si>
  <si>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</si>
  <si>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</si>
  <si>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</si>
  <si>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</si>
  <si>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</si>
  <si>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</si>
  <si>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</si>
  <si>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</si>
  <si>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</si>
  <si>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</si>
  <si>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</si>
  <si>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</si>
  <si>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</si>
  <si>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</si>
  <si>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</si>
  <si>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</si>
  <si>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</si>
  <si>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</si>
  <si>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</si>
  <si>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</si>
  <si>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</si>
  <si>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</si>
  <si>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</si>
  <si>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</si>
  <si>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</si>
  <si>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</si>
  <si>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</si>
  <si>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</si>
  <si>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</si>
  <si>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</si>
  <si>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</si>
  <si>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</si>
  <si>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</si>
  <si>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</si>
  <si>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</si>
  <si>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</si>
  <si>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</si>
  <si>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</si>
  <si>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</si>
  <si>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</si>
  <si>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</si>
  <si>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</si>
  <si>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</si>
  <si>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</si>
  <si>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</si>
  <si>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</si>
  <si>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</si>
  <si>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</si>
  <si>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</si>
  <si>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</si>
  <si>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</si>
  <si>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</si>
  <si>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</si>
  <si>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</si>
  <si>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</si>
  <si>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</si>
  <si>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</si>
  <si>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</si>
  <si>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</si>
  <si>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</si>
  <si>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</si>
  <si>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</si>
  <si>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</si>
  <si>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</si>
  <si>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</si>
  <si>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</si>
  <si>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</si>
  <si>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</si>
  <si>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</si>
  <si>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</si>
  <si>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</si>
  <si>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</si>
  <si>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</si>
  <si>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</si>
  <si>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</si>
  <si>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</si>
  <si>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</si>
  <si>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</si>
  <si>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</si>
  <si>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</si>
  <si>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</si>
  <si>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</si>
  <si>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</si>
  <si>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</si>
  <si>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</si>
  <si>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</si>
  <si>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</si>
  <si>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</si>
  <si>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</si>
  <si>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</si>
  <si>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</si>
  <si>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</si>
  <si>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</si>
  <si>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</si>
  <si>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</si>
  <si>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</si>
  <si>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</si>
  <si>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</si>
  <si>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</si>
  <si>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</si>
  <si>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</si>
  <si>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</si>
  <si>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</si>
  <si>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</si>
  <si>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</si>
  <si>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</si>
  <si>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</si>
  <si>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</si>
  <si>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</si>
  <si>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</si>
  <si>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</si>
  <si>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</si>
  <si>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</si>
  <si>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</si>
  <si>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</si>
  <si>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</si>
  <si>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</si>
  <si>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</si>
  <si>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</si>
  <si>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</si>
  <si>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</si>
  <si>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</si>
  <si>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</si>
  <si>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</si>
  <si>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</si>
  <si>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</si>
  <si>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</si>
  <si>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</si>
  <si>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</si>
  <si>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</si>
  <si>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</si>
  <si>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</si>
  <si>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</si>
  <si>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</si>
  <si>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</si>
  <si>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</si>
  <si>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</si>
  <si>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</si>
  <si>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</si>
  <si>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</si>
  <si>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</si>
  <si>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</si>
  <si>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</si>
  <si>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</si>
  <si>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</si>
  <si>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</si>
  <si>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</si>
  <si>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</si>
  <si>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</si>
  <si>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</si>
  <si>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</si>
  <si>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</si>
  <si>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</si>
  <si>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</si>
  <si>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</si>
  <si>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</si>
  <si>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</si>
  <si>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</si>
  <si>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</si>
  <si>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</si>
  <si>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</si>
  <si>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</si>
  <si>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</si>
  <si>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</si>
  <si>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</si>
  <si>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</si>
  <si>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</si>
  <si>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</si>
  <si>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</si>
  <si>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</si>
  <si>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</si>
  <si>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</si>
  <si>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</si>
  <si>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</si>
  <si>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</si>
  <si>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</si>
  <si>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</si>
  <si>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</si>
  <si>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</si>
  <si>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</si>
  <si>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</si>
  <si>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</si>
  <si>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</si>
  <si>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</si>
  <si>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</si>
  <si>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</si>
  <si>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</si>
  <si>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</si>
  <si>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</si>
  <si>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</si>
  <si>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</si>
  <si>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</si>
  <si>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</si>
  <si>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</si>
  <si>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</si>
  <si>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</si>
  <si>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</si>
  <si>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</si>
  <si>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</si>
  <si>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</si>
  <si>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</si>
  <si>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</si>
  <si>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</si>
  <si>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</si>
  <si>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</si>
  <si>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</si>
  <si>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</si>
  <si>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</si>
  <si>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</si>
  <si>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</si>
  <si>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</si>
  <si>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</si>
  <si>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</si>
  <si>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</si>
  <si>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</si>
  <si>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</si>
  <si>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</si>
  <si>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</si>
  <si>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</si>
  <si>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</si>
  <si>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</si>
  <si>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</si>
  <si>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</si>
  <si>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</si>
  <si>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</si>
  <si>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</si>
  <si>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</si>
  <si>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</si>
  <si>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</si>
  <si>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</si>
  <si>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</si>
  <si>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</si>
  <si>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</si>
  <si>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</si>
  <si>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</si>
  <si>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</si>
  <si>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</si>
  <si>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</si>
  <si>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</si>
  <si>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</si>
  <si>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</si>
  <si>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</si>
  <si>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</si>
  <si>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</si>
  <si>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</si>
  <si>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</si>
  <si>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</si>
  <si>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</si>
  <si>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</si>
  <si>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</si>
  <si>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</si>
  <si>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</si>
  <si>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</si>
  <si>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</si>
  <si>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</si>
  <si>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</si>
  <si>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</si>
  <si>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</si>
  <si>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</si>
  <si>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</si>
  <si>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</si>
  <si>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</si>
  <si>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</si>
  <si>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</si>
  <si>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</si>
  <si>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</si>
  <si>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</si>
  <si>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</si>
  <si>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</si>
  <si>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</si>
  <si>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</si>
  <si>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</si>
  <si>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</si>
  <si>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</si>
  <si>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</si>
  <si>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</si>
  <si>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</si>
  <si>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</si>
  <si>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</si>
  <si>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</si>
  <si>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</si>
  <si>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</si>
  <si>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</si>
  <si>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</si>
  <si>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</si>
  <si>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</si>
  <si>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</si>
  <si>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</si>
  <si>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</si>
  <si>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</si>
  <si>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</si>
  <si>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</si>
  <si>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</si>
  <si>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</si>
  <si>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</si>
  <si>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</si>
  <si>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</si>
  <si>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</si>
  <si>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</si>
  <si>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</si>
  <si>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</si>
  <si>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</si>
  <si>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</si>
  <si>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</si>
  <si>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</si>
  <si>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</si>
  <si>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</si>
  <si>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</si>
  <si>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</si>
  <si>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</si>
  <si>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</si>
  <si>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</si>
  <si>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</si>
  <si>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</si>
  <si>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</si>
  <si>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</si>
  <si>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</si>
  <si>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</si>
  <si>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</si>
  <si>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</si>
  <si>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</si>
  <si>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</si>
  <si>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</si>
  <si>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</si>
  <si>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</si>
  <si>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</si>
  <si>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</si>
  <si>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</si>
  <si>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</si>
  <si>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</si>
  <si>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</si>
  <si>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</si>
  <si>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</si>
  <si>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</si>
  <si>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</si>
  <si>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</si>
  <si>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</si>
  <si>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</si>
  <si>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</si>
  <si>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</si>
  <si>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</si>
  <si>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</si>
  <si>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</si>
  <si>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</si>
  <si>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</si>
  <si>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</si>
  <si>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</si>
  <si>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</si>
  <si>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</si>
  <si>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</si>
  <si>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</si>
  <si>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</si>
  <si>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</si>
  <si>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</si>
  <si>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</si>
  <si>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</si>
  <si>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</si>
  <si>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</si>
  <si>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</si>
  <si>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</si>
  <si>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</si>
  <si>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</si>
  <si>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</si>
  <si>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</si>
  <si>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</si>
  <si>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</si>
  <si>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</si>
  <si>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</si>
  <si>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</si>
  <si>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</si>
  <si>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</si>
  <si>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</si>
  <si>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</si>
  <si>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</si>
  <si>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</si>
  <si>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</si>
  <si>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</si>
  <si>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</si>
  <si>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</si>
  <si>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</si>
  <si>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</si>
  <si>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</si>
  <si>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</si>
  <si>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</si>
  <si>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</si>
  <si>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</si>
  <si>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</si>
  <si>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</si>
  <si>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</si>
  <si>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</si>
  <si>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</si>
  <si>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</si>
  <si>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</si>
  <si>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</si>
  <si>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</si>
  <si>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</si>
  <si>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</si>
  <si>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</si>
  <si>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</si>
  <si>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</si>
  <si>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</si>
  <si>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</si>
  <si>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</si>
  <si>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</si>
  <si>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</si>
  <si>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</si>
  <si>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</si>
  <si>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</si>
  <si>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</si>
  <si>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</si>
  <si>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</si>
  <si>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</si>
  <si>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</si>
  <si>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</si>
  <si>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</si>
  <si>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</si>
  <si>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</si>
  <si>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</si>
  <si>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</si>
  <si>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</si>
  <si>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</si>
  <si>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</si>
  <si>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</si>
  <si>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</si>
  <si>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</si>
  <si>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</si>
  <si>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</si>
  <si>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</si>
  <si>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</si>
  <si>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</si>
  <si>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</si>
  <si>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</si>
  <si>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</si>
  <si>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</si>
  <si>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</si>
  <si>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</si>
  <si>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</si>
  <si>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</si>
  <si>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</si>
  <si>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</si>
  <si>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</si>
  <si>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</si>
  <si>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</si>
  <si>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</si>
  <si>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</si>
  <si>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</si>
  <si>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</si>
  <si>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</si>
  <si>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</si>
  <si>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</si>
  <si>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</si>
  <si>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</si>
  <si>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</si>
  <si>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</si>
  <si>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</si>
  <si>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</si>
  <si>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</si>
  <si>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</si>
  <si>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</si>
  <si>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</si>
  <si>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</si>
  <si>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</si>
  <si>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</si>
  <si>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</si>
  <si>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</si>
  <si>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</si>
  <si>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</si>
  <si>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</si>
  <si>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</si>
  <si>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</si>
  <si>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</si>
  <si>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</si>
  <si>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</si>
  <si>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</si>
  <si>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</si>
  <si>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</si>
  <si>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</si>
  <si>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</si>
  <si>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</si>
  <si>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</si>
  <si>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</si>
  <si>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</si>
  <si>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</si>
  <si>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</si>
  <si>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</si>
  <si>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</si>
  <si>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</si>
  <si>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</si>
  <si>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</si>
  <si>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</si>
  <si>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</si>
  <si>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</si>
  <si>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</si>
  <si>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</si>
  <si>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</si>
  <si>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</si>
  <si>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</si>
  <si>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</si>
  <si>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</si>
  <si>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</si>
  <si>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</si>
  <si>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</si>
  <si>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</si>
  <si>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</si>
  <si>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</si>
  <si>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</si>
  <si>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</si>
  <si>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</si>
  <si>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</si>
  <si>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</si>
  <si>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</si>
  <si>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</si>
  <si>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</si>
  <si>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</si>
  <si>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</si>
  <si>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</si>
  <si>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</si>
  <si>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</si>
  <si>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</si>
  <si>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</si>
  <si>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</si>
  <si>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</si>
  <si>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</si>
  <si>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</si>
  <si>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</si>
  <si>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</si>
  <si>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</si>
  <si>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</si>
  <si>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</si>
  <si>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</si>
  <si>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</si>
  <si>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</si>
  <si>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</si>
  <si>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</si>
  <si>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</si>
  <si>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</si>
  <si>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</si>
  <si>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</si>
  <si>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</si>
  <si>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</si>
  <si>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</si>
  <si>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</si>
  <si>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</si>
  <si>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</si>
  <si>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</si>
  <si>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</si>
  <si>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</si>
  <si>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</si>
  <si>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</si>
  <si>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</si>
  <si>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</si>
  <si>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</si>
  <si>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</si>
  <si>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</si>
  <si>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</si>
  <si>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</si>
  <si>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</si>
  <si>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</si>
  <si>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</si>
  <si>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</si>
  <si>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</si>
  <si>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</si>
  <si>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</si>
  <si>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</si>
  <si>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</si>
  <si>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</si>
  <si>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</si>
  <si>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</si>
  <si>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</si>
  <si>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</si>
  <si>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</si>
  <si>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</si>
  <si>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</si>
  <si>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</si>
  <si>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</si>
  <si>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</si>
  <si>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</si>
  <si>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</si>
  <si>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</si>
  <si>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</si>
  <si>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</si>
  <si>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</si>
  <si>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</si>
  <si>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</si>
  <si>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</si>
  <si>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</si>
  <si>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</si>
  <si>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</si>
  <si>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</si>
  <si>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</si>
  <si>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</si>
  <si>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</si>
  <si>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</si>
  <si>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</si>
  <si>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</si>
  <si>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</si>
  <si>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</si>
  <si>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</si>
  <si>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</si>
  <si>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</si>
  <si>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</si>
  <si>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</si>
  <si>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</si>
  <si>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</si>
  <si>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</si>
  <si>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</si>
  <si>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</si>
  <si>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</si>
  <si>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</si>
  <si>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</si>
  <si>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</si>
  <si>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</si>
  <si>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</si>
  <si>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</si>
  <si>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</si>
  <si>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</si>
  <si>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</si>
  <si>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</si>
  <si>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</si>
  <si>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</si>
  <si>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</si>
  <si>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</si>
  <si>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</si>
  <si>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</si>
  <si>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</si>
  <si>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</si>
  <si>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</si>
  <si>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</si>
  <si>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</si>
  <si>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</si>
  <si>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</si>
  <si>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</si>
  <si>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</si>
  <si>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</si>
  <si>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</si>
  <si>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</si>
  <si>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</si>
  <si>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</si>
  <si>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</si>
  <si>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</si>
  <si>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</si>
  <si>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</si>
  <si>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</si>
  <si>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</si>
  <si>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</si>
  <si>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</si>
  <si>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</si>
  <si>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</si>
  <si>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</si>
  <si>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</si>
  <si>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</si>
  <si>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</si>
  <si>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</si>
  <si>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</si>
  <si>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</si>
  <si>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</si>
  <si>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</si>
  <si>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</si>
  <si>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</si>
  <si>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</si>
  <si>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</si>
  <si>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</si>
  <si>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</si>
  <si>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</si>
  <si>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</si>
  <si>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</si>
  <si>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</si>
  <si>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</si>
  <si>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</si>
  <si>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</si>
  <si>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</si>
  <si>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</si>
  <si>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</si>
  <si>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</si>
  <si>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</si>
  <si>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</si>
  <si>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</si>
  <si>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</si>
  <si>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</si>
  <si>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</si>
  <si>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</si>
  <si>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</si>
  <si>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</si>
  <si>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</si>
  <si>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</si>
  <si>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</si>
  <si>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</si>
  <si>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</si>
  <si>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</si>
  <si>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</si>
  <si>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</si>
  <si>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</si>
  <si>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</si>
  <si>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</si>
  <si>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</si>
  <si>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</si>
  <si>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</si>
  <si>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</si>
  <si>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</si>
  <si>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</si>
  <si>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</si>
  <si>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</si>
  <si>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</si>
  <si>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</si>
  <si>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</si>
  <si>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</si>
  <si>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</si>
  <si>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</si>
  <si>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</si>
  <si>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</si>
  <si>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</si>
  <si>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</si>
  <si>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</si>
  <si>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</si>
  <si>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</si>
  <si>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</si>
  <si>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</si>
  <si>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</si>
  <si>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</si>
  <si>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</si>
  <si>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</si>
  <si>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</si>
  <si>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</si>
  <si>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</si>
  <si>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</si>
  <si>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</si>
  <si>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</si>
  <si>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</si>
  <si>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</si>
  <si>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</si>
  <si>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</si>
  <si>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</si>
  <si>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</si>
  <si>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</si>
  <si>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</si>
  <si>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</si>
  <si>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</si>
  <si>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</si>
  <si>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</si>
  <si>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</si>
  <si>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</si>
  <si>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</si>
  <si>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</si>
  <si>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</si>
  <si>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</si>
  <si>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</si>
  <si>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</si>
  <si>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</si>
  <si>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</si>
  <si>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</si>
  <si>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</si>
  <si>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</si>
  <si>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</si>
  <si>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</si>
  <si>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</si>
  <si>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</si>
  <si>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</si>
  <si>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</si>
  <si>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</si>
  <si>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</si>
  <si>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</si>
  <si>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</si>
  <si>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</si>
  <si>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</si>
  <si>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</si>
  <si>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</si>
  <si>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</si>
  <si>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</si>
  <si>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</si>
  <si>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</si>
  <si>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</si>
  <si>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</si>
  <si>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</si>
  <si>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</si>
  <si>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</si>
  <si>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</si>
  <si>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</si>
  <si>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</si>
  <si>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</si>
  <si>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</si>
  <si>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</si>
  <si>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</si>
  <si>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</si>
  <si>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</si>
  <si>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</si>
  <si>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</si>
  <si>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</si>
  <si>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</si>
  <si>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</si>
  <si>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</si>
  <si>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</si>
  <si>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</si>
  <si>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</si>
  <si>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</si>
  <si>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</si>
  <si>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</si>
  <si>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</si>
  <si>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</si>
  <si>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</si>
  <si>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</si>
  <si>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</si>
  <si>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</si>
  <si>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</si>
  <si>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</si>
  <si>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</si>
  <si>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</si>
  <si>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</si>
  <si>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</si>
  <si>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</si>
  <si>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</si>
  <si>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</si>
  <si>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</si>
  <si>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</si>
  <si>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</si>
  <si>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</si>
  <si>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</si>
  <si>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</si>
  <si>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</si>
  <si>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</si>
  <si>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</si>
  <si>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</si>
  <si>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</si>
  <si>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</si>
  <si>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</si>
  <si>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</si>
  <si>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</si>
  <si>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</si>
  <si>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</si>
  <si>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</si>
  <si>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</si>
  <si>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</si>
  <si>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</si>
  <si>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</si>
  <si>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</si>
  <si>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</si>
  <si>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</si>
  <si>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</si>
  <si>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</si>
  <si>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</si>
  <si>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</si>
  <si>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</si>
  <si>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</si>
  <si>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</si>
  <si>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</si>
  <si>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</si>
  <si>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</si>
  <si>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</si>
  <si>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</si>
  <si>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</si>
  <si>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</si>
  <si>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</si>
  <si>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</si>
  <si>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</si>
  <si>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</si>
  <si>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</si>
  <si>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</si>
  <si>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</si>
  <si>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</si>
  <si>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</si>
  <si>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</si>
  <si>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</si>
  <si>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</si>
  <si>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</si>
  <si>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</si>
  <si>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</si>
  <si>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</si>
  <si>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</si>
  <si>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</si>
  <si>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</si>
  <si>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</si>
  <si>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</si>
  <si>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</si>
  <si>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</si>
  <si>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</si>
  <si>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</si>
  <si>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</si>
  <si>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</si>
  <si>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</si>
  <si>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</si>
  <si>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</si>
  <si>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</si>
  <si>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</si>
  <si>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</si>
  <si>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</si>
  <si>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</si>
  <si>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</si>
  <si>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</si>
  <si>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</si>
  <si>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</si>
  <si>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</si>
  <si>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</si>
  <si>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</si>
  <si>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</si>
  <si>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</si>
  <si>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</si>
  <si>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</si>
  <si>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</si>
  <si>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</si>
  <si>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</si>
  <si>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</si>
  <si>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</si>
  <si>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</si>
  <si>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</si>
  <si>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</si>
  <si>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</si>
  <si>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</si>
  <si>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</si>
  <si>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</si>
  <si>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</si>
  <si>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</si>
  <si>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</si>
  <si>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</si>
  <si>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</si>
  <si>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</si>
  <si>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</si>
  <si>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</si>
  <si>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</si>
  <si>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</si>
  <si>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</si>
  <si>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</si>
  <si>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</si>
  <si>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</si>
  <si>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</si>
  <si>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</si>
  <si>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</si>
  <si>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</si>
  <si>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</si>
  <si>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</si>
  <si>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</si>
  <si>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</si>
  <si>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</si>
  <si>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</si>
  <si>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</si>
  <si>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</si>
  <si>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</si>
  <si>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</si>
  <si>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</si>
  <si>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</si>
  <si>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</si>
  <si>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</si>
  <si>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</si>
  <si>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</si>
  <si>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</si>
  <si>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</si>
  <si>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</si>
  <si>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</si>
  <si>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</si>
  <si>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</si>
  <si>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</si>
  <si>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</si>
  <si>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</si>
  <si>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</si>
  <si>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</si>
  <si>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</si>
  <si>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</si>
  <si>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</si>
  <si>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</si>
  <si>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</si>
  <si>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</si>
  <si>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</si>
  <si>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</si>
  <si>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</si>
  <si>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</si>
  <si>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</si>
  <si>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</si>
  <si>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</si>
  <si>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</si>
  <si>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</si>
  <si>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</si>
  <si>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</si>
  <si>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</si>
  <si>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</si>
  <si>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</si>
  <si>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</si>
  <si>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</si>
  <si>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</si>
  <si>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</si>
  <si>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</si>
  <si>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</si>
  <si>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</si>
  <si>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</si>
  <si>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</si>
  <si>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</si>
  <si>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</si>
  <si>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</si>
  <si>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</si>
  <si>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</si>
  <si>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</si>
  <si>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</si>
  <si>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</si>
  <si>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</si>
  <si>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</si>
  <si>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</si>
  <si>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</si>
  <si>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</si>
  <si>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</si>
  <si>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</si>
  <si>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</si>
  <si>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</si>
  <si>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</si>
  <si>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</si>
  <si>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</si>
  <si>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</si>
  <si>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</si>
  <si>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</si>
  <si>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</si>
  <si>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</si>
  <si>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</si>
  <si>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</si>
  <si>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</si>
  <si>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</si>
  <si>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</si>
  <si>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</si>
  <si>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</si>
  <si>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</si>
  <si>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</si>
  <si>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</si>
  <si>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</si>
  <si>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</si>
  <si>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</si>
  <si>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</si>
  <si>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</si>
  <si>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</si>
  <si>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</si>
  <si>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</si>
  <si>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</si>
  <si>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</si>
  <si>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</si>
  <si>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</si>
  <si>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</si>
  <si>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</si>
  <si>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</si>
  <si>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</si>
  <si>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</si>
  <si>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</si>
  <si>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</si>
  <si>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</si>
  <si>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</si>
  <si>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</si>
  <si>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</si>
  <si>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</si>
  <si>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</si>
  <si>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</si>
  <si>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</si>
  <si>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</si>
  <si>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</si>
  <si>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</si>
  <si>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</si>
  <si>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</si>
  <si>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</si>
  <si>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</si>
  <si>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</si>
  <si>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</si>
  <si>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</si>
  <si>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</si>
  <si>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</si>
  <si>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</si>
  <si>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</si>
  <si>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</si>
  <si>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</si>
  <si>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</si>
  <si>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</si>
  <si>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</si>
  <si>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</si>
  <si>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</si>
  <si>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</si>
  <si>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</si>
  <si>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</si>
  <si>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</si>
  <si>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</si>
  <si>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</si>
  <si>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</si>
  <si>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</si>
  <si>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</si>
  <si>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</si>
  <si>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</si>
  <si>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</si>
  <si>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</si>
  <si>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</si>
  <si>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</si>
  <si>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</si>
  <si>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</si>
  <si>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</si>
  <si>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</si>
  <si>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</si>
  <si>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</si>
  <si>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</si>
  <si>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</si>
  <si>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</si>
  <si>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</si>
  <si>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</si>
  <si>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</si>
  <si>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</si>
  <si>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</si>
  <si>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</si>
  <si>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</si>
  <si>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</si>
  <si>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</si>
  <si>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</si>
  <si>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</si>
  <si>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</si>
  <si>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</si>
  <si>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</si>
  <si>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</si>
  <si>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</si>
  <si>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</si>
  <si>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</si>
  <si>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</si>
  <si>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</si>
  <si>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</si>
  <si>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</si>
  <si>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</si>
  <si>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</si>
  <si>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</si>
  <si>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</si>
  <si>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</si>
  <si>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</si>
  <si>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</si>
  <si>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</si>
  <si>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</si>
  <si>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</si>
  <si>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</si>
  <si>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</si>
  <si>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</si>
  <si>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</si>
  <si>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</si>
  <si>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</si>
  <si>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</si>
  <si>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</si>
  <si>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</si>
  <si>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</si>
  <si>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</si>
  <si>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</si>
  <si>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</si>
  <si>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</si>
  <si>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</si>
  <si>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</si>
  <si>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</si>
  <si>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</si>
  <si>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</si>
  <si>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</si>
  <si>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</si>
  <si>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</si>
  <si>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</si>
  <si>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</si>
  <si>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</si>
  <si>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</si>
  <si>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</si>
  <si>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</si>
  <si>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</si>
  <si>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</si>
  <si>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</si>
  <si>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</si>
  <si>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</si>
  <si>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</si>
  <si>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</si>
  <si>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</si>
  <si>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</si>
  <si>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</si>
  <si>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</si>
  <si>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</si>
  <si>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</si>
  <si>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</si>
  <si>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</si>
  <si>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</si>
  <si>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</si>
  <si>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</si>
  <si>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</si>
  <si>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</si>
  <si>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</si>
  <si>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</si>
  <si>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</si>
  <si>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</si>
  <si>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</si>
  <si>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</si>
  <si>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</si>
  <si>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</si>
  <si>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</si>
  <si>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</si>
  <si>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</si>
  <si>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</si>
  <si>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</si>
  <si>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</si>
  <si>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</si>
  <si>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</si>
  <si>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</si>
  <si>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</si>
  <si>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</si>
  <si>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</si>
  <si>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</si>
  <si>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</si>
  <si>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</si>
  <si>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</si>
  <si>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</si>
  <si>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</si>
  <si>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</si>
  <si>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</si>
  <si>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</si>
  <si>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</si>
  <si>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</si>
  <si>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</si>
  <si>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</si>
  <si>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</si>
  <si>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</si>
  <si>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</si>
  <si>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</si>
  <si>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</si>
  <si>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</si>
  <si>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</si>
  <si>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</si>
  <si>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</si>
  <si>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</si>
  <si>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</si>
  <si>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</si>
  <si>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</si>
  <si>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</si>
  <si>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</si>
  <si>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</si>
  <si>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</si>
  <si>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</si>
  <si>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</si>
  <si>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</si>
  <si>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</si>
  <si>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</si>
  <si>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</si>
  <si>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</si>
  <si>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</si>
  <si>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</si>
  <si>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</si>
  <si>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</si>
  <si>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</si>
  <si>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</si>
  <si>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</si>
  <si>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</si>
  <si>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</si>
  <si>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</si>
  <si>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</si>
  <si>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</si>
  <si>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</si>
  <si>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</si>
  <si>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</si>
  <si>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</si>
  <si>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</si>
  <si>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</si>
  <si>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</si>
  <si>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</si>
  <si>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</si>
  <si>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</si>
  <si>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</si>
  <si>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</si>
  <si>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</si>
  <si>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</si>
  <si>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</si>
  <si>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</si>
  <si>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</si>
  <si>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</si>
  <si>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</si>
  <si>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</si>
  <si>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</si>
  <si>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</si>
  <si>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</si>
  <si>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</si>
  <si>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</si>
  <si>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</si>
  <si>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</si>
  <si>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</si>
  <si>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</si>
  <si>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</si>
  <si>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</si>
  <si>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</si>
  <si>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</si>
  <si>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</si>
  <si>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</si>
  <si>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</si>
  <si>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</si>
  <si>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</si>
  <si>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</si>
  <si>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</si>
  <si>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</si>
  <si>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</si>
  <si>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</si>
  <si>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</si>
  <si>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</si>
  <si>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</si>
  <si>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</si>
  <si>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</si>
  <si>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</si>
  <si>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</si>
  <si>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</si>
  <si>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</si>
  <si>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</si>
  <si>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</si>
  <si>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</si>
  <si>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</si>
  <si>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</si>
  <si>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</si>
  <si>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</si>
  <si>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</si>
  <si>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</si>
  <si>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</si>
  <si>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</si>
  <si>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</si>
  <si>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</si>
  <si>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</si>
  <si>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</si>
  <si>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</si>
  <si>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</si>
  <si>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</si>
  <si>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</si>
  <si>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</si>
  <si>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</si>
  <si>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</si>
  <si>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</si>
  <si>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</si>
  <si>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</si>
  <si>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</si>
  <si>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</si>
  <si>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</si>
  <si>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</si>
  <si>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</si>
  <si>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</si>
  <si>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</si>
  <si>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</si>
  <si>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</si>
  <si>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</si>
  <si>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</si>
  <si>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</si>
  <si>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</si>
  <si>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</si>
  <si>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</si>
  <si>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</si>
  <si>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</si>
  <si>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</si>
  <si>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</si>
  <si>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</si>
  <si>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</si>
  <si>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</si>
  <si>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</si>
  <si>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</si>
  <si>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</si>
  <si>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</si>
  <si>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</si>
  <si>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</si>
  <si>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</si>
  <si>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</si>
  <si>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</si>
  <si>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</si>
  <si>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</si>
  <si>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</si>
  <si>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</si>
  <si>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</si>
  <si>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</si>
  <si>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</si>
  <si>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</si>
  <si>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</si>
  <si>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</si>
  <si>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</si>
  <si>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</si>
  <si>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</si>
  <si>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</si>
  <si>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</si>
  <si>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</si>
  <si>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</si>
  <si>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</si>
  <si>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</si>
  <si>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</si>
  <si>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</si>
  <si>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</si>
  <si>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</si>
  <si>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</si>
  <si>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</si>
  <si>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</si>
  <si>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</si>
  <si>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</si>
  <si>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</si>
  <si>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</si>
  <si>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</si>
  <si>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</si>
  <si>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</si>
  <si>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</si>
  <si>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</si>
  <si>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</si>
  <si>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</si>
  <si>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</si>
  <si>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</si>
  <si>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</si>
  <si>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</si>
  <si>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</si>
  <si>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</si>
  <si>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</si>
  <si>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</si>
  <si>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</si>
  <si>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</si>
  <si>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</si>
  <si>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</si>
  <si>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</si>
  <si>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</si>
  <si>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</si>
  <si>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</si>
  <si>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</si>
  <si>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</si>
  <si>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</si>
  <si>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</si>
  <si>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</si>
  <si>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</si>
  <si>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</si>
  <si>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</si>
  <si>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</si>
  <si>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</si>
  <si>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</si>
  <si>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</si>
  <si>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</si>
  <si>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</si>
  <si>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</si>
  <si>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</si>
  <si>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</si>
  <si>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</si>
  <si>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</si>
  <si>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</si>
  <si>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</si>
  <si>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</si>
  <si>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</si>
  <si>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</si>
  <si>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</si>
  <si>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</si>
  <si>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</si>
  <si>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</si>
  <si>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</si>
  <si>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</si>
  <si>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</si>
  <si>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</si>
  <si>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</si>
  <si>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</si>
  <si>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</si>
  <si>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</si>
  <si>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</si>
  <si>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</si>
  <si>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</si>
  <si>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</si>
  <si>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</si>
  <si>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</si>
  <si>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</si>
  <si>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</si>
  <si>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</si>
  <si>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</si>
  <si>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</si>
  <si>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</si>
  <si>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</si>
  <si>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</si>
  <si>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</si>
  <si>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</si>
  <si>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</si>
  <si>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</si>
  <si>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</si>
  <si>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</si>
  <si>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</si>
  <si>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</si>
  <si>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</si>
  <si>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</si>
  <si>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</si>
  <si>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</si>
  <si>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</si>
  <si>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</si>
  <si>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</si>
  <si>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</si>
  <si>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</si>
  <si>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</si>
  <si>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</si>
  <si>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</si>
  <si>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</si>
  <si>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</si>
  <si>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</si>
  <si>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</si>
  <si>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</si>
  <si>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</si>
  <si>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</si>
  <si>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</si>
  <si>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</si>
  <si>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</si>
  <si>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</si>
  <si>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</si>
  <si>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</si>
  <si>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</si>
  <si>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</si>
  <si>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</si>
  <si>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</si>
  <si>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</si>
  <si>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</si>
  <si>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</si>
  <si>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</si>
  <si>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</si>
  <si>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</si>
  <si>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</si>
  <si>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</si>
  <si>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</si>
  <si>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</si>
  <si>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</si>
  <si>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</si>
  <si>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</si>
  <si>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</si>
  <si>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</si>
  <si>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</si>
  <si>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</si>
  <si>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</si>
  <si>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</si>
  <si>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</si>
  <si>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</si>
  <si>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</si>
  <si>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</si>
  <si>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</si>
  <si>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</si>
  <si>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</si>
  <si>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</si>
  <si>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</si>
  <si>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</si>
  <si>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</si>
  <si>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</si>
  <si>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</si>
  <si>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</si>
  <si>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</si>
  <si>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</si>
  <si>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</si>
  <si>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</si>
  <si>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</si>
  <si>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</si>
  <si>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</si>
  <si>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</si>
  <si>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</si>
  <si>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</si>
  <si>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</si>
  <si>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</si>
  <si>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</si>
  <si>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</si>
  <si>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</si>
  <si>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</si>
  <si>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</si>
  <si>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</si>
  <si>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</si>
  <si>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</si>
  <si>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</si>
  <si>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</si>
  <si>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</si>
  <si>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</si>
  <si>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</si>
  <si>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</si>
  <si>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</si>
  <si>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</si>
  <si>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</si>
  <si>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</si>
  <si>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</si>
  <si>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</si>
  <si>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</si>
  <si>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</si>
  <si>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</si>
  <si>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</si>
  <si>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</si>
  <si>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</si>
  <si>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</si>
  <si>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</si>
  <si>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</si>
  <si>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</si>
  <si>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</si>
  <si>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</si>
  <si>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</si>
  <si>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</si>
  <si>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</si>
  <si>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</si>
  <si>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</si>
  <si>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</si>
  <si>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</si>
  <si>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</si>
  <si>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</si>
  <si>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</si>
  <si>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</si>
  <si>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</si>
  <si>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</si>
  <si>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</si>
  <si>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</si>
  <si>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</si>
  <si>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</si>
  <si>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</si>
  <si>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</si>
  <si>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</si>
  <si>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</si>
  <si>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</si>
  <si>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</si>
  <si>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</si>
  <si>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</si>
  <si>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</si>
  <si>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</si>
  <si>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</si>
  <si>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</si>
  <si>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</si>
  <si>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</si>
  <si>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</si>
  <si>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</si>
  <si>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</si>
  <si>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</si>
  <si>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</si>
  <si>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</si>
  <si>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</si>
  <si>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</si>
  <si>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</si>
  <si>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</si>
  <si>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</si>
  <si>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</si>
  <si>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</si>
  <si>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</si>
  <si>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</si>
  <si>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</si>
  <si>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</si>
  <si>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</si>
  <si>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</si>
  <si>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</si>
  <si>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</si>
  <si>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</si>
  <si>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</si>
  <si>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</si>
  <si>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</si>
  <si>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</si>
  <si>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</si>
  <si>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</si>
  <si>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</si>
  <si>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</si>
  <si>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</si>
  <si>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</si>
  <si>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</si>
  <si>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</si>
  <si>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</si>
  <si>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</si>
  <si>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</si>
  <si>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</si>
  <si>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</si>
  <si>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</si>
  <si>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</si>
  <si>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</si>
  <si>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</si>
  <si>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</si>
  <si>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</si>
  <si>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</si>
  <si>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</si>
  <si>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</si>
  <si>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</si>
  <si>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</si>
  <si>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</si>
  <si>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</si>
  <si>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</si>
  <si>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</si>
  <si>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</si>
  <si>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</si>
  <si>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</si>
  <si>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</si>
  <si>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</si>
  <si>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</si>
  <si>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</si>
  <si>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</si>
  <si>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</si>
  <si>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</si>
  <si>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</si>
  <si>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</si>
  <si>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</si>
  <si>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</si>
  <si>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</si>
  <si>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</si>
  <si>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</si>
  <si>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</si>
  <si>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</si>
  <si>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</si>
  <si>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</si>
  <si>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</si>
  <si>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</si>
  <si>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</si>
  <si>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</si>
  <si>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</si>
  <si>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</si>
  <si>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</si>
  <si>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</si>
  <si>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</si>
  <si>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</si>
  <si>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</si>
  <si>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</si>
  <si>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</si>
  <si>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</si>
  <si>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</si>
  <si>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</si>
  <si>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</si>
  <si>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</si>
  <si>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</si>
  <si>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</si>
  <si>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</si>
  <si>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</si>
  <si>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</si>
  <si>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</si>
  <si>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</si>
  <si>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</si>
  <si>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</si>
  <si>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</si>
  <si>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</si>
  <si>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</si>
  <si>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</si>
  <si>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</si>
  <si>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</si>
  <si>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</si>
  <si>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</si>
  <si>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</si>
  <si>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</si>
  <si>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</si>
  <si>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</si>
  <si>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</si>
  <si>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</si>
  <si>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</si>
  <si>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</si>
  <si>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</si>
  <si>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</si>
  <si>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</si>
  <si>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</si>
  <si>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</si>
  <si>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</si>
  <si>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</si>
  <si>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</si>
  <si>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</si>
  <si>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</si>
  <si>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</si>
  <si>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</si>
  <si>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</si>
  <si>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</si>
  <si>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</si>
  <si>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</si>
  <si>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</si>
  <si>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</si>
  <si>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</si>
  <si>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</si>
  <si>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</si>
  <si>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</si>
  <si>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</si>
  <si>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</si>
  <si>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</si>
  <si>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</si>
  <si>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</si>
  <si>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</si>
  <si>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</si>
  <si>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</si>
  <si>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</si>
  <si>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</si>
  <si>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</si>
  <si>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</si>
  <si>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</si>
  <si>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</si>
  <si>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</si>
  <si>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</si>
  <si>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</si>
  <si>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</si>
  <si>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</si>
  <si>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</si>
  <si>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</si>
  <si>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</si>
  <si>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</si>
  <si>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</si>
  <si>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</si>
  <si>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</si>
  <si>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</si>
  <si>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</si>
  <si>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</si>
  <si>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</si>
  <si>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</si>
  <si>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</si>
  <si>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</si>
  <si>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</si>
  <si>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</si>
  <si>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</si>
  <si>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</si>
  <si>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</si>
  <si>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</si>
  <si>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</si>
  <si>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</si>
  <si>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</si>
  <si>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</si>
  <si>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</si>
  <si>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</si>
  <si>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</si>
  <si>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</si>
  <si>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</si>
  <si>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</si>
  <si>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</si>
  <si>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</si>
  <si>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</si>
  <si>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</si>
  <si>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</si>
  <si>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</si>
  <si>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</si>
  <si>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</si>
  <si>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</si>
  <si>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</si>
  <si>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</si>
  <si>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</si>
  <si>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</si>
  <si>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</si>
  <si>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</si>
  <si>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</si>
  <si>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</si>
  <si>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</si>
  <si>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</si>
  <si>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</si>
  <si>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</si>
  <si>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</si>
  <si>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</si>
  <si>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</si>
  <si>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</si>
  <si>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</si>
  <si>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</si>
  <si>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</si>
  <si>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</si>
  <si>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</si>
  <si>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</si>
  <si>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</si>
  <si>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</si>
  <si>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</si>
  <si>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</si>
  <si>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</si>
  <si>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</si>
  <si>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</si>
  <si>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</si>
  <si>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</si>
  <si>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</si>
  <si>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</si>
  <si>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</si>
  <si>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</si>
  <si>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</si>
  <si>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</si>
  <si>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</si>
  <si>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</si>
  <si>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</si>
  <si>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</si>
  <si>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</si>
  <si>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</si>
  <si>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</si>
  <si>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</si>
  <si>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</si>
  <si>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</si>
  <si>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</si>
  <si>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</si>
  <si>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</si>
  <si>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</si>
  <si>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</si>
  <si>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</si>
  <si>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</si>
  <si>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</si>
  <si>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</si>
  <si>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</si>
  <si>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</si>
  <si>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</si>
  <si>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</si>
  <si>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</si>
  <si>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</si>
  <si>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</si>
  <si>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</si>
  <si>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</si>
  <si>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</si>
  <si>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</si>
  <si>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</si>
  <si>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</si>
  <si>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</si>
  <si>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</si>
  <si>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</si>
  <si>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</si>
  <si>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</si>
  <si>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</si>
  <si>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</si>
  <si>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</si>
  <si>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</si>
  <si>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</si>
  <si>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</si>
  <si>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</si>
  <si>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</si>
  <si>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</si>
  <si>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</si>
  <si>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</si>
  <si>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</si>
  <si>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</si>
  <si>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</si>
  <si>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</si>
  <si>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</si>
  <si>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</si>
  <si>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</si>
  <si>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</si>
  <si>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</si>
  <si>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</si>
  <si>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</si>
  <si>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</si>
  <si>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</si>
  <si>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</si>
  <si>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</si>
  <si>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</si>
  <si>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</si>
  <si>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</si>
  <si>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</si>
  <si>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</si>
  <si>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</si>
  <si>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</si>
  <si>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</si>
  <si>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</si>
  <si>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</si>
  <si>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</si>
  <si>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</si>
  <si>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</si>
  <si>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</si>
  <si>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</si>
  <si>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</si>
  <si>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</si>
  <si>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</si>
  <si>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</si>
  <si>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</si>
  <si>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</si>
  <si>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</si>
  <si>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</si>
  <si>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</si>
  <si>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</si>
  <si>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</si>
  <si>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</si>
  <si>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</si>
  <si>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</si>
  <si>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</si>
  <si>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</si>
  <si>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</si>
  <si>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</si>
  <si>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</si>
  <si>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</si>
  <si>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</si>
  <si>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</si>
  <si>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</si>
  <si>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</si>
  <si>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</si>
  <si>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</si>
  <si>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</si>
  <si>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</si>
  <si>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</si>
  <si>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</si>
  <si>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</si>
  <si>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</si>
  <si>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</si>
  <si>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</si>
  <si>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</si>
  <si>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</si>
  <si>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</si>
  <si>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</si>
  <si>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</si>
  <si>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</si>
  <si>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</si>
  <si>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</si>
  <si>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</si>
  <si>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</si>
  <si>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</si>
  <si>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</si>
  <si>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</si>
  <si>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</si>
  <si>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</si>
  <si>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</si>
  <si>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</si>
  <si>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</si>
  <si>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</si>
  <si>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</si>
  <si>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</si>
  <si>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</si>
  <si>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</si>
  <si>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</si>
  <si>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</si>
  <si>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</si>
  <si>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</si>
  <si>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</si>
  <si>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</si>
  <si>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</si>
  <si>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</si>
  <si>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</si>
  <si>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</si>
  <si>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</si>
  <si>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</si>
  <si>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</si>
  <si>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</si>
  <si>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</si>
  <si>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</si>
  <si>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</si>
  <si>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</si>
  <si>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</si>
  <si>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</si>
  <si>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</si>
  <si>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</si>
  <si>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</si>
  <si>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</si>
  <si>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</si>
  <si>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</si>
  <si>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</si>
  <si>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</si>
  <si>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</si>
  <si>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</si>
  <si>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</si>
  <si>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</si>
  <si>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</si>
  <si>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</si>
  <si>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</si>
  <si>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</si>
  <si>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</si>
  <si>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</si>
  <si>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</si>
  <si>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</si>
  <si>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</si>
  <si>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</si>
  <si>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</si>
  <si>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</si>
  <si>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</si>
  <si>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</si>
  <si>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</si>
  <si>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</si>
  <si>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</si>
  <si>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</si>
  <si>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</si>
  <si>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</si>
  <si>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</si>
  <si>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</si>
  <si>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</si>
  <si>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</si>
  <si>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</si>
  <si>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</si>
  <si>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</si>
  <si>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</si>
  <si>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</si>
  <si>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</si>
  <si>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</si>
  <si>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</si>
  <si>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</si>
  <si>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</si>
  <si>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</si>
  <si>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</si>
  <si>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</si>
  <si>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</si>
  <si>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</si>
  <si>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</si>
  <si>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</si>
  <si>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</si>
  <si>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</si>
  <si>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</si>
  <si>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</si>
  <si>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</si>
  <si>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</si>
  <si>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</si>
  <si>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</si>
  <si>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</si>
  <si>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</si>
  <si>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</si>
  <si>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</si>
  <si>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</si>
  <si>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</si>
  <si>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</si>
  <si>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</si>
  <si>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</si>
  <si>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</si>
  <si>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</si>
  <si>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</si>
  <si>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</si>
  <si>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</si>
  <si>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</si>
  <si>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</si>
  <si>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</si>
  <si>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</si>
  <si>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</si>
  <si>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</si>
  <si>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</si>
  <si>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</si>
  <si>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</si>
  <si>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</si>
  <si>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</si>
  <si>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</si>
  <si>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</si>
  <si>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</si>
  <si>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</si>
  <si>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</si>
  <si>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</si>
  <si>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</si>
  <si>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</si>
  <si>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</si>
  <si>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</si>
  <si>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</si>
  <si>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</si>
  <si>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</si>
  <si>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</si>
  <si>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</si>
  <si>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</si>
  <si>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</si>
  <si>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</si>
  <si>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</si>
  <si>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</si>
  <si>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</si>
  <si>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</si>
  <si>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</si>
  <si>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</si>
  <si>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</si>
  <si>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</si>
  <si>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</si>
  <si>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</si>
  <si>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</si>
  <si>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</si>
  <si>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</si>
  <si>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</si>
  <si>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</si>
  <si>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</si>
  <si>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</si>
  <si>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</si>
  <si>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</si>
  <si>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</si>
  <si>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</si>
  <si>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</si>
  <si>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</si>
  <si>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</si>
  <si>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</si>
  <si>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</si>
  <si>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</si>
  <si>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</si>
  <si>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</si>
  <si>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</si>
  <si>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</si>
  <si>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</si>
  <si>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</si>
  <si>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</si>
  <si>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</si>
  <si>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</si>
  <si>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</si>
  <si>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</si>
  <si>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</si>
  <si>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</si>
  <si>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</si>
  <si>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</si>
  <si>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</si>
  <si>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</si>
  <si>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</si>
  <si>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</si>
  <si>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</si>
  <si>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</si>
  <si>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</si>
  <si>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</si>
  <si>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</si>
  <si>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</si>
  <si>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</si>
  <si>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</si>
  <si>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</si>
  <si>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</si>
  <si>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</si>
  <si>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</si>
  <si>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</si>
  <si>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</si>
  <si>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</si>
  <si>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</si>
  <si>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</si>
  <si>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</si>
  <si>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</si>
  <si>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</si>
  <si>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</si>
  <si>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</si>
  <si>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</si>
  <si>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</si>
  <si>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</si>
  <si>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</si>
  <si>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</si>
  <si>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</si>
  <si>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</si>
  <si>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</si>
  <si>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</si>
  <si>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</si>
  <si>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</si>
  <si>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</si>
  <si>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</si>
  <si>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</si>
  <si>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</si>
  <si>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</si>
  <si>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</si>
  <si>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</si>
  <si>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</si>
  <si>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</si>
  <si>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</si>
  <si>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</si>
  <si>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</si>
  <si>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</si>
  <si>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</si>
  <si>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</si>
  <si>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</si>
  <si>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</si>
  <si>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</si>
  <si>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</si>
  <si>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</si>
  <si>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</si>
  <si>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</si>
  <si>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</si>
  <si>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</si>
  <si>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</si>
  <si>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</si>
  <si>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</si>
  <si>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</si>
  <si>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</si>
  <si>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</si>
  <si>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</si>
  <si>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</si>
  <si>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</si>
  <si>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</si>
  <si>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</si>
  <si>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</si>
  <si>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</si>
  <si>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</si>
  <si>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</si>
  <si>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</si>
  <si>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</si>
  <si>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</si>
  <si>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</si>
  <si>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</si>
  <si>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</si>
  <si>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</si>
  <si>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</si>
  <si>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</si>
  <si>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</si>
  <si>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</si>
  <si>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</si>
  <si>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</si>
  <si>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</si>
  <si>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</si>
  <si>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</si>
  <si>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</si>
  <si>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</si>
  <si>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</si>
  <si>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</si>
  <si>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</si>
  <si>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</si>
  <si>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</si>
  <si>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</si>
  <si>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</si>
  <si>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</si>
  <si>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</si>
  <si>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</si>
  <si>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</si>
  <si>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</si>
  <si>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</si>
  <si>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</si>
  <si>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</si>
  <si>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</si>
  <si>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</si>
  <si>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</si>
  <si>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</si>
  <si>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</si>
  <si>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</si>
  <si>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</si>
  <si>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</si>
  <si>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</si>
  <si>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</si>
  <si>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</si>
  <si>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</si>
  <si>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</si>
  <si>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</si>
  <si>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</si>
  <si>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</si>
  <si>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</si>
  <si>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</si>
  <si>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</si>
  <si>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</si>
  <si>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</si>
  <si>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</si>
  <si>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</si>
  <si>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</si>
  <si>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</si>
  <si>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</si>
  <si>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</si>
  <si>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</si>
  <si>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</si>
  <si>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</si>
  <si>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</si>
  <si>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</si>
  <si>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</si>
  <si>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</si>
  <si>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</si>
  <si>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</si>
  <si>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</si>
  <si>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</si>
  <si>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</si>
  <si>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</si>
  <si>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</si>
  <si>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</si>
  <si>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</si>
  <si>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</si>
  <si>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</si>
  <si>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</si>
  <si>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</si>
  <si>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</si>
  <si>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</si>
  <si>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</si>
  <si>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</si>
  <si>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</si>
  <si>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</si>
  <si>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</si>
  <si>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</si>
  <si>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</si>
  <si>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</si>
  <si>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</si>
  <si>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</si>
  <si>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</si>
  <si>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</si>
  <si>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</si>
  <si>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</si>
  <si>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</si>
  <si>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</si>
  <si>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</si>
  <si>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</si>
  <si>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</si>
  <si>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</si>
  <si>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</si>
  <si>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</si>
  <si>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</si>
  <si>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</si>
  <si>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</si>
  <si>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</si>
  <si>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</si>
  <si>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</si>
  <si>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</si>
  <si>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</si>
  <si>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</si>
  <si>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</si>
  <si>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</si>
  <si>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</si>
  <si>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</si>
  <si>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</si>
  <si>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</si>
  <si>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</si>
  <si>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</si>
  <si>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</si>
  <si>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</si>
  <si>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</si>
  <si>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</si>
  <si>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</si>
  <si>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</si>
  <si>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</si>
  <si>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</si>
  <si>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</si>
  <si>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</si>
  <si>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</si>
  <si>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</si>
  <si>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</si>
  <si>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</si>
  <si>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</si>
  <si>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</si>
  <si>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</si>
  <si>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</si>
  <si>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</si>
  <si>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</si>
  <si>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</si>
  <si>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</si>
  <si>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</si>
  <si>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</si>
  <si>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</si>
  <si>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</si>
  <si>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</si>
  <si>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</si>
  <si>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</si>
  <si>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</si>
  <si>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</si>
  <si>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</si>
  <si>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</si>
  <si>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</si>
  <si>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</si>
  <si>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</si>
  <si>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</si>
  <si>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</si>
  <si>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</si>
  <si>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</si>
  <si>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</si>
  <si>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</si>
  <si>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</si>
  <si>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</si>
  <si>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</si>
  <si>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</si>
  <si>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</si>
  <si>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</si>
  <si>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</si>
  <si>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</si>
  <si>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</si>
  <si>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</si>
  <si>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</si>
  <si>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</si>
  <si>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</si>
  <si>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</si>
  <si>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</si>
  <si>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</si>
  <si>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</si>
  <si>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</si>
  <si>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</si>
  <si>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</si>
  <si>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</si>
  <si>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</si>
  <si>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</si>
  <si>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</si>
  <si>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</si>
  <si>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</si>
  <si>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</si>
  <si>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</si>
  <si>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</si>
  <si>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</si>
  <si>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</si>
  <si>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</si>
  <si>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</si>
  <si>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</si>
  <si>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</si>
  <si>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</si>
  <si>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</si>
  <si>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</si>
  <si>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</si>
  <si>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</si>
  <si>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</si>
  <si>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</si>
  <si>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</si>
  <si>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</si>
  <si>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</si>
  <si>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</si>
  <si>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</si>
  <si>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</si>
  <si>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</si>
  <si>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</si>
  <si>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</si>
  <si>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</si>
  <si>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</si>
  <si>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</si>
  <si>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</si>
  <si>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</si>
  <si>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</si>
  <si>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</si>
  <si>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</si>
  <si>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</si>
  <si>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</si>
  <si>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</si>
  <si>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</si>
  <si>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</si>
  <si>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</si>
  <si>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</si>
  <si>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</si>
  <si>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</si>
  <si>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</si>
  <si>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</si>
  <si>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</si>
  <si>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</si>
  <si>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</si>
  <si>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</si>
  <si>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</si>
  <si>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</si>
  <si>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</si>
  <si>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</si>
  <si>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</si>
  <si>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</si>
  <si>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</si>
  <si>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</si>
  <si>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</si>
  <si>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</si>
  <si>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</si>
  <si>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</si>
  <si>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</si>
  <si>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</si>
  <si>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</si>
  <si>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</si>
  <si>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</si>
  <si>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</si>
  <si>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</si>
  <si>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</si>
  <si>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</si>
  <si>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</si>
  <si>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</si>
  <si>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</si>
  <si>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</si>
  <si>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</si>
  <si>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</si>
  <si>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</si>
  <si>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</si>
  <si>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</si>
  <si>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</si>
  <si>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</si>
  <si>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</si>
  <si>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</si>
  <si>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</si>
  <si>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</si>
  <si>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</si>
  <si>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</si>
  <si>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</si>
  <si>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</si>
  <si>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</si>
  <si>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</si>
  <si>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</si>
  <si>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</si>
  <si>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</si>
  <si>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</si>
  <si>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</si>
  <si>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</si>
  <si>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</si>
  <si>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</si>
  <si>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</si>
  <si>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</si>
  <si>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</si>
  <si>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</si>
  <si>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</si>
  <si>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</si>
  <si>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</si>
  <si>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</si>
  <si>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</si>
  <si>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</si>
  <si>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</si>
  <si>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</si>
  <si>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</si>
  <si>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</si>
  <si>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</si>
  <si>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</si>
  <si>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</si>
  <si>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</si>
  <si>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</si>
  <si>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</si>
  <si>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</si>
  <si>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</si>
  <si>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</si>
  <si>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</si>
  <si>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</si>
  <si>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</si>
  <si>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</si>
  <si>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</si>
  <si>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</si>
  <si>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</si>
  <si>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</si>
  <si>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</si>
  <si>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</si>
  <si>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</si>
  <si>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</si>
  <si>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</si>
  <si>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</si>
  <si>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</si>
  <si>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</si>
  <si>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</si>
  <si>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</si>
  <si>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</si>
  <si>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</si>
  <si>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</si>
  <si>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</si>
  <si>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</si>
  <si>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</si>
  <si>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</si>
  <si>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</si>
  <si>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</si>
  <si>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</si>
  <si>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</si>
  <si>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</si>
  <si>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</si>
  <si>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</si>
  <si>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</si>
  <si>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</si>
  <si>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</si>
  <si>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</si>
  <si>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</si>
  <si>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</si>
  <si>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</si>
  <si>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</si>
  <si>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</si>
  <si>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</si>
  <si>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</si>
  <si>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</si>
  <si>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</si>
  <si>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</si>
  <si>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</si>
  <si>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</si>
  <si>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</si>
  <si>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</si>
  <si>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</si>
  <si>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</si>
  <si>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</si>
  <si>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</si>
  <si>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</si>
  <si>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</si>
  <si>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</si>
  <si>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</si>
  <si>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</si>
  <si>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</si>
  <si>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</si>
  <si>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</si>
  <si>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</si>
  <si>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</si>
  <si>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</si>
  <si>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</si>
  <si>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</si>
  <si>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</si>
  <si>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</si>
  <si>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</si>
  <si>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</si>
  <si>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</si>
  <si>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</si>
  <si>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</si>
  <si>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</si>
  <si>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</si>
  <si>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</si>
  <si>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</si>
  <si>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</si>
  <si>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</si>
  <si>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</si>
  <si>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</si>
  <si>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</si>
  <si>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</si>
  <si>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</si>
  <si>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</si>
  <si>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</si>
  <si>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</si>
  <si>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</si>
  <si>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</si>
  <si>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</si>
  <si>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</si>
  <si>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</si>
  <si>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</si>
  <si>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</si>
  <si>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</si>
  <si>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</si>
  <si>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</si>
  <si>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</si>
  <si>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</si>
  <si>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</si>
  <si>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</si>
  <si>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</si>
  <si>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</si>
  <si>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</si>
  <si>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</si>
  <si>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</si>
  <si>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</si>
  <si>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</si>
  <si>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</si>
  <si>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</si>
  <si>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</si>
  <si>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</si>
  <si>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</si>
  <si>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</si>
  <si>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</si>
  <si>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</si>
  <si>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</si>
  <si>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</si>
  <si>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</si>
  <si>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</si>
  <si>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</si>
  <si>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</si>
  <si>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</si>
  <si>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</si>
  <si>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</si>
  <si>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</si>
  <si>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</si>
  <si>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</si>
  <si>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</si>
  <si>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</si>
  <si>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</si>
  <si>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</si>
  <si>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</si>
  <si>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</si>
  <si>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</si>
  <si>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</si>
  <si>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</si>
  <si>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</si>
  <si>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</si>
  <si>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</si>
  <si>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</si>
  <si>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</si>
  <si>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</si>
  <si>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</si>
  <si>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</si>
  <si>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</si>
  <si>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</si>
  <si>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</si>
  <si>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</si>
  <si>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</si>
  <si>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</si>
  <si>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</si>
  <si>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</si>
  <si>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</si>
  <si>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</si>
  <si>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</si>
  <si>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</si>
  <si>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</si>
  <si>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</si>
  <si>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</si>
  <si>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</si>
  <si>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</si>
  <si>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</si>
  <si>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</si>
  <si>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</si>
  <si>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</si>
  <si>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</si>
  <si>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</si>
  <si>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</si>
  <si>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</si>
  <si>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</si>
  <si>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</si>
  <si>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</si>
  <si>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</si>
  <si>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</si>
  <si>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</si>
  <si>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</si>
  <si>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</si>
  <si>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</si>
  <si>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</si>
  <si>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</si>
  <si>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</si>
  <si>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</si>
  <si>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</si>
  <si>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</si>
  <si>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</si>
  <si>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</si>
  <si>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</si>
  <si>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</si>
  <si>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</si>
  <si>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</si>
  <si>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</si>
  <si>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</si>
  <si>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</si>
  <si>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</si>
  <si>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</si>
  <si>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</si>
  <si>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</si>
  <si>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</si>
  <si>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</si>
  <si>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</si>
  <si>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</si>
  <si>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</si>
  <si>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</si>
  <si>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</si>
  <si>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</si>
  <si>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</si>
  <si>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</si>
  <si>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</si>
  <si>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</si>
  <si>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</si>
  <si>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</si>
  <si>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</si>
  <si>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</si>
  <si>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</si>
  <si>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</si>
  <si>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</si>
  <si>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</si>
  <si>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</si>
  <si>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</si>
  <si>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</si>
  <si>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</si>
  <si>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</si>
  <si>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</si>
  <si>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</si>
  <si>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</si>
  <si>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</si>
  <si>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</si>
  <si>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</si>
  <si>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</si>
  <si>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</si>
  <si>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</si>
  <si>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</si>
  <si>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</si>
  <si>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</si>
  <si>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</si>
  <si>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</si>
  <si>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</si>
  <si>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</si>
  <si>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</si>
  <si>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</si>
  <si>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</si>
  <si>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</si>
  <si>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</si>
  <si>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</si>
  <si>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</si>
  <si>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</si>
  <si>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</si>
  <si>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</si>
  <si>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</si>
  <si>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</si>
  <si>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</si>
  <si>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</si>
  <si>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</si>
  <si>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</si>
  <si>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</si>
  <si>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</si>
  <si>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</si>
  <si>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</si>
  <si>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</si>
  <si>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</si>
  <si>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</si>
  <si>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</si>
  <si>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</si>
  <si>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</si>
  <si>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</si>
  <si>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</si>
  <si>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</si>
  <si>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</si>
  <si>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</si>
  <si>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</si>
  <si>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</si>
  <si>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</si>
  <si>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</si>
  <si>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</si>
  <si>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</si>
  <si>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</si>
  <si>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</si>
  <si>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</si>
  <si>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</si>
  <si>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</si>
  <si>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</si>
  <si>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</si>
  <si>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</si>
  <si>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</si>
  <si>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</si>
  <si>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</si>
  <si>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</si>
  <si>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</si>
  <si>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</si>
  <si>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</si>
  <si>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</si>
  <si>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</si>
  <si>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</si>
  <si>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</si>
  <si>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</si>
  <si>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</si>
  <si>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</si>
  <si>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</si>
  <si>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</si>
  <si>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</si>
  <si>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</si>
  <si>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</si>
  <si>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</si>
  <si>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</si>
  <si>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</si>
  <si>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</si>
  <si>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</si>
  <si>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</si>
  <si>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</si>
  <si>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</si>
  <si>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</si>
  <si>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</si>
  <si>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</si>
  <si>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</si>
  <si>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</si>
  <si>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</si>
  <si>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</si>
  <si>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</si>
  <si>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</si>
  <si>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</si>
  <si>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</si>
  <si>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</si>
  <si>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</si>
  <si>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</si>
  <si>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</si>
  <si>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</si>
  <si>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</si>
  <si>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</si>
  <si>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</si>
  <si>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</si>
  <si>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</si>
  <si>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</si>
  <si>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</si>
  <si>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</si>
  <si>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</si>
  <si>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</si>
  <si>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</si>
  <si>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</si>
  <si>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</si>
  <si>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</si>
  <si>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</si>
  <si>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</si>
  <si>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</si>
  <si>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</si>
  <si>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</si>
  <si>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</si>
  <si>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</si>
  <si>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</si>
  <si>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</si>
  <si>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</si>
  <si>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</si>
  <si>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</si>
  <si>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</si>
  <si>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</si>
  <si>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</si>
  <si>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</si>
  <si>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</si>
  <si>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</si>
  <si>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</si>
  <si>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</si>
  <si>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</si>
  <si>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</si>
  <si>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</si>
  <si>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</si>
  <si>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</si>
  <si>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</si>
  <si>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</si>
  <si>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</si>
  <si>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</si>
  <si>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</si>
  <si>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</si>
  <si>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</si>
  <si>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</si>
  <si>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</si>
  <si>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</si>
  <si>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</si>
  <si>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</si>
  <si>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</si>
  <si>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</si>
  <si>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</si>
  <si>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</si>
  <si>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</si>
  <si>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</si>
  <si>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</si>
  <si>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</si>
  <si>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</si>
  <si>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</si>
  <si>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</si>
  <si>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</si>
  <si>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</si>
  <si>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</si>
  <si>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</si>
  <si>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</si>
  <si>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</si>
  <si>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</si>
  <si>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</si>
  <si>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</si>
  <si>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</si>
  <si>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</si>
  <si>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</si>
  <si>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</si>
  <si>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</si>
  <si>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</si>
  <si>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</si>
  <si>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</si>
  <si>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</si>
  <si>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</si>
  <si>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</si>
  <si>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</si>
  <si>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</si>
  <si>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</si>
  <si>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</si>
  <si>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</si>
  <si>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</si>
  <si>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</si>
  <si>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</si>
  <si>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</si>
  <si>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</si>
  <si>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</si>
  <si>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</si>
  <si>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</si>
  <si>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</si>
  <si>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</si>
  <si>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</si>
  <si>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</si>
  <si>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</si>
  <si>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</si>
  <si>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</si>
  <si>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</si>
  <si>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</si>
  <si>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</si>
  <si>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</si>
  <si>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</si>
  <si>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</si>
  <si>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</si>
  <si>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</si>
  <si>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</si>
  <si>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</si>
  <si>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</si>
  <si>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</si>
  <si>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</si>
  <si>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</si>
  <si>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</si>
  <si>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</si>
  <si>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</si>
  <si>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</si>
  <si>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</si>
  <si>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</si>
  <si>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</si>
  <si>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</si>
  <si>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</si>
  <si>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</si>
  <si>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</si>
  <si>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</si>
  <si>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</si>
  <si>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</si>
  <si>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</si>
  <si>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</si>
  <si>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</si>
  <si>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</si>
  <si>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</si>
  <si>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</si>
  <si>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</si>
  <si>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</si>
  <si>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</si>
  <si>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</si>
  <si>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</si>
  <si>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</si>
  <si>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</si>
  <si>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</si>
  <si>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</si>
  <si>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</si>
  <si>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</si>
  <si>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</si>
  <si>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</si>
  <si>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</si>
  <si>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</si>
  <si>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</si>
  <si>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</si>
  <si>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</si>
  <si>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</si>
  <si>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</si>
  <si>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</si>
  <si>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</si>
  <si>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</si>
  <si>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</si>
  <si>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</si>
  <si>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</si>
  <si>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</si>
  <si>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</si>
  <si>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</si>
  <si>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</si>
  <si>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</si>
  <si>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</si>
  <si>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</si>
  <si>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</si>
  <si>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</si>
  <si>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</si>
  <si>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</si>
  <si>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</si>
  <si>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</si>
  <si>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</si>
  <si>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</si>
  <si>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</si>
  <si>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</si>
  <si>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</si>
  <si>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</si>
  <si>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</si>
  <si>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</si>
  <si>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</si>
  <si>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</si>
  <si>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</si>
  <si>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</si>
  <si>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</si>
  <si>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</si>
  <si>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</si>
  <si>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</si>
  <si>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</si>
  <si>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</si>
  <si>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</si>
  <si>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</si>
  <si>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</si>
  <si>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</si>
  <si>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</si>
  <si>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</si>
  <si>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</si>
  <si>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</si>
  <si>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</si>
  <si>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</si>
  <si>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</si>
  <si>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</si>
  <si>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</si>
  <si>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</si>
  <si>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</si>
  <si>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</si>
  <si>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</si>
  <si>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</si>
  <si>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</si>
  <si>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</si>
  <si>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</si>
  <si>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</si>
  <si>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</si>
  <si>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</si>
  <si>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</si>
  <si>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</si>
  <si>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</si>
  <si>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</si>
  <si>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</si>
  <si>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</si>
  <si>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</si>
  <si>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</si>
  <si>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</si>
  <si>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</si>
  <si>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</si>
  <si>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</si>
  <si>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</si>
  <si>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</si>
  <si>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</si>
  <si>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</si>
  <si>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</si>
  <si>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</si>
  <si>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</si>
  <si>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</si>
  <si>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</si>
  <si>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</si>
  <si>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</si>
  <si>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</si>
  <si>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</si>
  <si>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</si>
  <si>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</si>
  <si>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</si>
  <si>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</si>
  <si>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</si>
  <si>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</si>
  <si>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</si>
  <si>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</si>
  <si>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</si>
  <si>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</si>
  <si>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</si>
  <si>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</si>
  <si>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</si>
  <si>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</si>
  <si>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</si>
  <si>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</si>
  <si>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</si>
  <si>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</si>
  <si>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</si>
  <si>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</si>
  <si>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</si>
  <si>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</si>
  <si>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</si>
  <si>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</si>
  <si>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</si>
  <si>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</si>
  <si>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</si>
  <si>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</si>
  <si>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</si>
  <si>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</si>
  <si>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</si>
  <si>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</si>
  <si>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</si>
  <si>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</si>
  <si>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</si>
  <si>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</si>
  <si>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</si>
  <si>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</si>
  <si>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</si>
  <si>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</si>
  <si>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</si>
  <si>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</si>
  <si>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</si>
  <si>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</si>
  <si>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</si>
  <si>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</si>
  <si>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</si>
  <si>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</si>
  <si>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</si>
  <si>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</si>
  <si>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</si>
  <si>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</si>
  <si>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</si>
  <si>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</si>
  <si>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</si>
  <si>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</si>
  <si>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</si>
  <si>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</si>
  <si>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</si>
  <si>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</si>
  <si>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</si>
  <si>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</si>
  <si>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</si>
  <si>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</si>
  <si>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</si>
  <si>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</si>
  <si>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</si>
  <si>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</si>
  <si>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</si>
  <si>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</si>
  <si>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</si>
  <si>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</si>
  <si>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</si>
  <si>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</si>
  <si>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</si>
  <si>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</si>
  <si>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</si>
  <si>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</si>
  <si>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</si>
  <si>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</si>
  <si>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</si>
  <si>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</si>
  <si>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</si>
  <si>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</si>
  <si>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</si>
  <si>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</si>
  <si>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</si>
  <si>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</si>
  <si>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</si>
  <si>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</si>
  <si>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</si>
  <si>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</si>
  <si>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</si>
  <si>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</si>
  <si>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</si>
  <si>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</si>
  <si>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</si>
  <si>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</si>
  <si>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</si>
  <si>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</si>
  <si>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</si>
  <si>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</si>
  <si>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</si>
  <si>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</si>
  <si>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</si>
  <si>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</si>
  <si>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</si>
  <si>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</si>
  <si>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</si>
  <si>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</si>
  <si>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</si>
  <si>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</si>
  <si>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</si>
  <si>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</si>
  <si>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</si>
  <si>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</si>
  <si>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</si>
  <si>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</si>
  <si>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</si>
  <si>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</si>
  <si>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</si>
  <si>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</si>
  <si>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</si>
  <si>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</si>
  <si>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</si>
  <si>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</si>
  <si>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</si>
  <si>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</si>
  <si>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</si>
  <si>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</si>
  <si>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</si>
  <si>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</si>
  <si>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</si>
  <si>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</si>
  <si>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</si>
  <si>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</si>
  <si>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</si>
  <si>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</si>
  <si>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</si>
  <si>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</si>
  <si>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</si>
  <si>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</si>
  <si>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</si>
  <si>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</si>
  <si>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</si>
  <si>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</si>
  <si>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</si>
  <si>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</si>
  <si>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</si>
  <si>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</si>
  <si>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</si>
  <si>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</si>
  <si>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</si>
  <si>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</si>
  <si>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</si>
  <si>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</si>
  <si>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</si>
  <si>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</si>
  <si>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</si>
  <si>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</si>
  <si>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</si>
  <si>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</si>
  <si>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</si>
  <si>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</si>
  <si>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</si>
  <si>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</si>
  <si>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</si>
  <si>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</si>
  <si>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</si>
  <si>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</si>
  <si>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</si>
  <si>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</si>
  <si>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</si>
  <si>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</si>
  <si>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</si>
  <si>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</si>
  <si>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</si>
  <si>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</si>
  <si>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</si>
  <si>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</si>
  <si>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</si>
  <si>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</si>
  <si>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</si>
  <si>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</si>
  <si>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</si>
  <si>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</si>
  <si>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</si>
  <si>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</si>
  <si>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</si>
  <si>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</si>
  <si>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</si>
  <si>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</si>
  <si>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</si>
  <si>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</si>
  <si>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</si>
  <si>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</si>
  <si>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</si>
  <si>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</si>
  <si>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</si>
  <si>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</si>
  <si>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</si>
  <si>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</si>
  <si>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</si>
  <si>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</si>
  <si>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</si>
  <si>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</si>
  <si>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</si>
  <si>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</si>
  <si>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</si>
  <si>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</si>
  <si>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</si>
  <si>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</si>
  <si>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</si>
  <si>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</si>
  <si>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</si>
  <si>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</si>
  <si>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</si>
  <si>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</si>
  <si>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</si>
  <si>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</si>
  <si>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</si>
  <si>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</si>
  <si>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</si>
  <si>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</si>
  <si>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</si>
  <si>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</si>
  <si>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</si>
  <si>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</si>
  <si>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</si>
  <si>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</si>
  <si>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</si>
  <si>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</si>
  <si>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</si>
  <si>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</si>
  <si>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</si>
  <si>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</si>
  <si>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</si>
  <si>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</si>
  <si>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</si>
  <si>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</si>
  <si>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</si>
  <si>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</si>
  <si>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</si>
  <si>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</si>
  <si>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</si>
  <si>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</si>
  <si>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</si>
  <si>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</si>
  <si>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</si>
  <si>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</si>
  <si>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</si>
  <si>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</si>
  <si>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</si>
  <si>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</si>
  <si>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</si>
  <si>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</si>
  <si>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</si>
  <si>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</si>
  <si>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</si>
  <si>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</si>
  <si>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</si>
  <si>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</si>
  <si>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</si>
  <si>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</si>
  <si>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</si>
  <si>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</si>
  <si>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</si>
  <si>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</si>
  <si>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</si>
  <si>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</si>
  <si>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</si>
  <si>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</si>
  <si>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</si>
  <si>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</si>
  <si>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</si>
  <si>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</si>
  <si>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</si>
  <si>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</si>
  <si>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</si>
  <si>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</si>
  <si>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</si>
  <si>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</si>
  <si>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</si>
  <si>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</si>
  <si>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</si>
  <si>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</si>
  <si>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</si>
  <si>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</si>
  <si>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</si>
  <si>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</si>
  <si>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</si>
  <si>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</si>
  <si>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</si>
  <si>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</si>
  <si>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</si>
  <si>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</si>
  <si>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</si>
  <si>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</si>
  <si>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</si>
  <si>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</si>
  <si>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</si>
  <si>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</si>
  <si>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</si>
  <si>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</si>
  <si>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</si>
  <si>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</si>
  <si>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</si>
  <si>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</si>
  <si>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</si>
  <si>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</si>
  <si>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</si>
  <si>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</si>
  <si>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</si>
  <si>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</si>
  <si>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</si>
  <si>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</si>
  <si>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</si>
  <si>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</si>
  <si>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</si>
  <si>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</si>
  <si>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</si>
  <si>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</si>
  <si>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</si>
  <si>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</si>
  <si>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</si>
  <si>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</si>
  <si>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</si>
  <si>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</si>
  <si>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</si>
  <si>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</si>
  <si>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</si>
  <si>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</si>
  <si>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</si>
  <si>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</si>
  <si>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</si>
  <si>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</si>
  <si>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</si>
  <si>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</si>
  <si>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</si>
  <si>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</si>
  <si>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</si>
  <si>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</si>
  <si>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</si>
  <si>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</si>
  <si>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</si>
  <si>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</si>
  <si>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</si>
  <si>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</si>
  <si>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</si>
  <si>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</si>
  <si>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</si>
  <si>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</si>
  <si>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</si>
  <si>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</si>
  <si>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</si>
  <si>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</si>
  <si>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</si>
  <si>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</si>
  <si>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</si>
  <si>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</si>
  <si>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</si>
  <si>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</si>
  <si>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</si>
  <si>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</si>
  <si>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</si>
  <si>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</si>
  <si>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</si>
  <si>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</si>
  <si>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</si>
  <si>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</si>
  <si>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</si>
  <si>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</si>
  <si>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</si>
  <si>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</si>
  <si>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</si>
  <si>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</si>
  <si>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</si>
  <si>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</si>
  <si>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</si>
  <si>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</si>
  <si>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</si>
  <si>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</si>
  <si>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</si>
  <si>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</si>
  <si>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</si>
  <si>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</si>
  <si>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</si>
  <si>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</si>
  <si>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</si>
  <si>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</si>
  <si>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</si>
  <si>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</si>
  <si>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</si>
  <si>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</si>
  <si>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</si>
  <si>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</si>
  <si>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</si>
  <si>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</si>
  <si>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</si>
  <si>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</si>
  <si>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</si>
  <si>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</si>
  <si>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</si>
  <si>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</si>
  <si>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</si>
  <si>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</si>
  <si>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</si>
  <si>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</si>
  <si>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</si>
  <si>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</si>
  <si>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</si>
  <si>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</si>
  <si>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</si>
  <si>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</si>
  <si>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</si>
  <si>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</si>
  <si>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</si>
  <si>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</si>
  <si>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</si>
  <si>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</si>
  <si>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</si>
  <si>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</si>
  <si>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</si>
  <si>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</si>
  <si>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</si>
  <si>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</si>
  <si>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</si>
  <si>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</si>
  <si>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</si>
  <si>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</si>
  <si>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</si>
  <si>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</si>
  <si>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</si>
  <si>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</si>
  <si>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</si>
  <si>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</si>
  <si>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</si>
  <si>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</si>
  <si>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</si>
  <si>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</si>
  <si>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</si>
  <si>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</si>
  <si>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</si>
  <si>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</si>
  <si>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</si>
  <si>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</si>
  <si>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</si>
  <si>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</si>
  <si>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</si>
  <si>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</si>
  <si>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</si>
  <si>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</si>
  <si>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</si>
  <si>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</si>
  <si>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</si>
  <si>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</si>
  <si>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</si>
  <si>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</si>
  <si>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</si>
  <si>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</si>
  <si>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</si>
  <si>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</si>
  <si>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</si>
  <si>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</si>
  <si>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</si>
  <si>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</si>
  <si>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</si>
  <si>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</si>
  <si>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</si>
  <si>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</si>
  <si>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</si>
  <si>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</si>
  <si>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</si>
  <si>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</si>
  <si>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</si>
  <si>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</si>
  <si>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</si>
  <si>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</si>
  <si>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</si>
  <si>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</si>
  <si>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</si>
  <si>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</si>
  <si>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</si>
  <si>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</si>
  <si>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</si>
  <si>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</si>
  <si>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</si>
  <si>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</si>
  <si>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</si>
  <si>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</si>
  <si>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</si>
  <si>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</si>
  <si>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</si>
  <si>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</si>
  <si>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</si>
  <si>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</si>
  <si>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</si>
  <si>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</si>
  <si>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</si>
  <si>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</si>
  <si>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</si>
  <si>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</si>
  <si>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</si>
  <si>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</si>
  <si>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</si>
  <si>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</si>
  <si>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</si>
  <si>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</si>
  <si>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</si>
  <si>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</si>
  <si>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</si>
  <si>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</si>
  <si>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</si>
  <si>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</si>
  <si>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</si>
  <si>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</si>
  <si>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</si>
  <si>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</si>
  <si>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</si>
  <si>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</si>
  <si>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</si>
  <si>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</si>
  <si>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</si>
  <si>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</si>
  <si>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</si>
  <si>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</si>
  <si>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</si>
  <si>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</si>
  <si>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</si>
  <si>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</si>
  <si>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</si>
  <si>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</si>
  <si>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</si>
  <si>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</si>
  <si>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</si>
  <si>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</si>
  <si>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</si>
  <si>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</si>
  <si>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</si>
  <si>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</si>
  <si>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</si>
  <si>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</si>
  <si>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</si>
  <si>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</si>
  <si>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</si>
  <si>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</si>
  <si>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</si>
  <si>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</si>
  <si>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</si>
  <si>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</si>
  <si>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</si>
  <si>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</si>
  <si>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</si>
  <si>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</si>
  <si>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</si>
  <si>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</si>
  <si>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</si>
  <si>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</si>
  <si>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</si>
  <si>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</si>
  <si>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</si>
  <si>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</si>
  <si>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</si>
  <si>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</si>
  <si>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</si>
  <si>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</si>
  <si>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</si>
  <si>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</si>
  <si>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</si>
  <si>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</si>
  <si>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</si>
  <si>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</si>
  <si>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</si>
  <si>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</si>
  <si>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</si>
  <si>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</si>
  <si>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</si>
  <si>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</si>
  <si>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</si>
  <si>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</si>
  <si>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</si>
  <si>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</si>
  <si>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</si>
  <si>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</si>
  <si>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</si>
  <si>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</si>
  <si>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</si>
  <si>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</si>
  <si>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</si>
  <si>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</si>
  <si>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</si>
  <si>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</si>
  <si>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</si>
  <si>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</si>
  <si>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</si>
  <si>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</si>
  <si>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</si>
  <si>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</si>
  <si>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</si>
  <si>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</si>
  <si>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</si>
  <si>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</si>
  <si>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</si>
  <si>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</si>
  <si>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</si>
  <si>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</si>
  <si>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</si>
  <si>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</si>
  <si>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</si>
  <si>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</si>
  <si>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</si>
  <si>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</si>
  <si>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</si>
  <si>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</si>
  <si>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</si>
  <si>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</si>
  <si>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</si>
  <si>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</si>
  <si>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</si>
  <si>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</si>
  <si>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</si>
  <si>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</si>
  <si>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</si>
  <si>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</si>
  <si>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</si>
  <si>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</si>
  <si>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</si>
  <si>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</si>
  <si>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</si>
  <si>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</si>
  <si>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</si>
  <si>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</si>
  <si>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</si>
  <si>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</si>
  <si>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</si>
  <si>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</si>
  <si>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</si>
  <si>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</si>
  <si>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</si>
  <si>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</si>
  <si>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</si>
  <si>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</si>
  <si>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</si>
  <si>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</si>
  <si>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</si>
  <si>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</si>
  <si>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</si>
  <si>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</si>
  <si>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</si>
  <si>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</si>
  <si>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</si>
  <si>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</si>
  <si>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</si>
  <si>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</si>
  <si>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</si>
  <si>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</si>
  <si>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</si>
  <si>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</si>
  <si>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</si>
  <si>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</si>
  <si>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</si>
  <si>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</si>
  <si>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</si>
  <si>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</si>
  <si>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</si>
  <si>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</si>
  <si>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</si>
  <si>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</si>
  <si>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</si>
  <si>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</si>
  <si>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</si>
  <si>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</si>
  <si>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</si>
  <si>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</si>
  <si>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</si>
  <si>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</si>
  <si>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</si>
  <si>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</si>
  <si>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</si>
  <si>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</si>
  <si>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</si>
  <si>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</si>
  <si>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</si>
  <si>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</si>
  <si>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</si>
  <si>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</si>
  <si>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</si>
  <si>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</si>
  <si>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</si>
  <si>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</si>
  <si>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</si>
  <si>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</si>
  <si>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</si>
  <si>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</si>
  <si>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</si>
  <si>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</si>
  <si>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</si>
  <si>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</si>
  <si>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</si>
  <si>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</si>
  <si>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</si>
  <si>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</si>
  <si>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</si>
  <si>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</si>
  <si>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</si>
  <si>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</si>
  <si>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</si>
  <si>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</si>
  <si>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</si>
  <si>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</si>
  <si>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</si>
  <si>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</si>
  <si>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</si>
  <si>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</si>
  <si>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</si>
  <si>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</si>
  <si>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</si>
  <si>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</si>
  <si>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</si>
  <si>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</si>
  <si>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</si>
  <si>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</si>
  <si>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</si>
  <si>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</si>
  <si>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</si>
  <si>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</si>
  <si>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</si>
  <si>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</si>
  <si>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</si>
  <si>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</si>
  <si>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</si>
  <si>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</si>
  <si>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</si>
  <si>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</si>
  <si>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</si>
  <si>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</si>
  <si>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</si>
  <si>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</si>
  <si>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</si>
  <si>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</si>
  <si>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</si>
  <si>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</si>
  <si>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</si>
  <si>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</si>
  <si>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</si>
  <si>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</si>
  <si>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</si>
  <si>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</si>
  <si>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</si>
  <si>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</si>
  <si>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</si>
  <si>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</si>
  <si>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</si>
  <si>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</si>
  <si>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</si>
  <si>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</si>
  <si>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</si>
  <si>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</si>
  <si>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</si>
  <si>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</si>
  <si>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</si>
  <si>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</si>
  <si>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</si>
  <si>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</si>
  <si>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</si>
  <si>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</si>
  <si>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</si>
  <si>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</si>
  <si>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</si>
  <si>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</si>
  <si>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</si>
  <si>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</si>
  <si>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</si>
  <si>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</si>
  <si>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</si>
  <si>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</si>
  <si>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</si>
  <si>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</si>
  <si>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</si>
  <si>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</si>
  <si>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</si>
  <si>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</si>
  <si>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</si>
  <si>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</si>
  <si>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</si>
  <si>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</si>
  <si>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</si>
  <si>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</si>
  <si>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</si>
  <si>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</si>
  <si>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</si>
  <si>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</si>
  <si>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</si>
  <si>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</si>
  <si>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</si>
  <si>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</si>
  <si>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</si>
  <si>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</si>
  <si>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</si>
  <si>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</si>
  <si>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</si>
  <si>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</si>
  <si>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</si>
  <si>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</si>
  <si>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</si>
  <si>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</si>
  <si>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</si>
  <si>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</si>
  <si>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</si>
  <si>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</si>
  <si>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</si>
  <si>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</si>
  <si>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</si>
  <si>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</si>
  <si>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</si>
  <si>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</si>
  <si>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</si>
  <si>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</si>
  <si>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</si>
  <si>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</si>
  <si>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</si>
  <si>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</si>
  <si>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</si>
  <si>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</si>
  <si>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</si>
  <si>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</si>
  <si>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</si>
  <si>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</si>
  <si>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</si>
  <si>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</si>
  <si>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</si>
  <si>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</si>
  <si>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</si>
  <si>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</si>
  <si>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</si>
  <si>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</si>
  <si>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</si>
  <si>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</si>
  <si>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</si>
  <si>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</si>
  <si>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</si>
  <si>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</si>
  <si>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</si>
  <si>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</si>
  <si>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</si>
  <si>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</si>
  <si>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</si>
  <si>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</si>
  <si>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</si>
  <si>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</si>
  <si>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</si>
  <si>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</si>
  <si>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</si>
  <si>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</si>
  <si>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</si>
  <si>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</si>
  <si>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</si>
  <si>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</si>
  <si>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</si>
  <si>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</si>
  <si>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</si>
  <si>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</si>
  <si>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</si>
  <si>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</si>
  <si>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</si>
  <si>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</si>
  <si>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</si>
  <si>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</si>
  <si>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</si>
  <si>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</si>
  <si>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</si>
  <si>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</si>
  <si>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</si>
  <si>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</si>
  <si>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</si>
  <si>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</si>
  <si>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</si>
  <si>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</si>
  <si>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</si>
  <si>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</si>
  <si>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</si>
  <si>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</si>
  <si>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</si>
  <si>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</si>
  <si>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</si>
  <si>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</si>
  <si>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</si>
  <si>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</si>
  <si>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</si>
  <si>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</si>
  <si>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</si>
  <si>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</si>
  <si>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</si>
  <si>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</si>
  <si>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</si>
  <si>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</si>
  <si>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</si>
  <si>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</si>
  <si>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</si>
  <si>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</si>
  <si>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</si>
  <si>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</si>
  <si>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</si>
  <si>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</si>
  <si>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</si>
  <si>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</si>
  <si>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</si>
  <si>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</si>
  <si>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</si>
  <si>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</si>
  <si>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</si>
  <si>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</si>
  <si>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</si>
  <si>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</si>
  <si>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</si>
  <si>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</si>
  <si>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</si>
  <si>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</si>
  <si>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</si>
  <si>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</si>
  <si>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</si>
  <si>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</si>
  <si>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</si>
  <si>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</si>
  <si>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</si>
  <si>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</si>
  <si>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</si>
  <si>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</si>
  <si>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</si>
  <si>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</si>
  <si>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</si>
  <si>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</si>
  <si>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</si>
  <si>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</si>
  <si>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</si>
  <si>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</si>
  <si>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</si>
  <si>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</si>
  <si>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</si>
  <si>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</si>
  <si>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</si>
  <si>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</si>
  <si>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</si>
  <si>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</si>
  <si>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</si>
  <si>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</si>
  <si>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</si>
  <si>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</si>
  <si>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</si>
  <si>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</si>
  <si>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</si>
  <si>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</si>
  <si>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</si>
  <si>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</si>
  <si>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</si>
  <si>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</si>
  <si>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</si>
  <si>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</si>
  <si>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</si>
  <si>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</si>
  <si>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</si>
  <si>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</si>
  <si>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</si>
  <si>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</si>
  <si>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</si>
  <si>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</si>
  <si>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</si>
  <si>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</si>
  <si>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</si>
  <si>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</si>
  <si>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</si>
  <si>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</si>
  <si>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</si>
  <si>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</si>
  <si>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</si>
  <si>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</si>
  <si>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</si>
  <si>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</si>
  <si>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</si>
  <si>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</si>
  <si>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</si>
  <si>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</si>
  <si>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</si>
  <si>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</si>
  <si>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</si>
  <si>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</si>
  <si>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</si>
  <si>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</si>
  <si>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</si>
  <si>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</si>
  <si>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</si>
  <si>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</si>
  <si>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</si>
  <si>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</si>
  <si>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</si>
  <si>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</si>
  <si>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</si>
  <si>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</si>
  <si>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</si>
  <si>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</si>
  <si>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</si>
  <si>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</si>
  <si>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</si>
  <si>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</si>
  <si>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</si>
  <si>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</si>
  <si>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</si>
  <si>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</si>
  <si>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</si>
  <si>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</si>
  <si>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</si>
  <si>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</si>
  <si>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</si>
  <si>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</si>
  <si>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</si>
  <si>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</si>
  <si>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</si>
  <si>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</si>
  <si>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</si>
  <si>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</si>
  <si>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</si>
  <si>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</si>
  <si>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</si>
  <si>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</si>
  <si>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</si>
  <si>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</si>
  <si>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</si>
  <si>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</si>
  <si>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</si>
  <si>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</si>
  <si>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</si>
  <si>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</si>
  <si>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</si>
  <si>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</si>
  <si>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</si>
  <si>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</si>
  <si>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</si>
  <si>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</si>
  <si>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</si>
  <si>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</si>
  <si>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</si>
  <si>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</si>
  <si>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</si>
  <si>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</si>
  <si>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</si>
  <si>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</si>
  <si>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</si>
  <si>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</si>
  <si>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</si>
  <si>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</si>
  <si>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</si>
  <si>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</si>
  <si>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</si>
  <si>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</si>
  <si>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</si>
  <si>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</si>
  <si>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</si>
  <si>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</si>
  <si>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</si>
  <si>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</si>
  <si>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</si>
  <si>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</si>
  <si>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</si>
  <si>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</si>
  <si>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</si>
  <si>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</si>
  <si>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</si>
  <si>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</si>
  <si>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</si>
  <si>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</si>
  <si>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</si>
  <si>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</si>
  <si>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</si>
  <si>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</si>
  <si>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</si>
  <si>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</si>
  <si>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</si>
  <si>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</si>
  <si>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</si>
  <si>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</si>
  <si>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</si>
  <si>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</si>
  <si>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</si>
  <si>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</si>
  <si>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</si>
  <si>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</si>
  <si>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</si>
  <si>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</si>
  <si>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</si>
  <si>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</si>
  <si>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</si>
  <si>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</si>
  <si>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</si>
  <si>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</si>
  <si>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</si>
  <si>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</si>
  <si>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</si>
  <si>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</si>
  <si>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</si>
  <si>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</si>
  <si>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</si>
  <si>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</si>
  <si>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</si>
  <si>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</si>
  <si>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</si>
  <si>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</si>
  <si>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</si>
  <si>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</si>
  <si>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</si>
  <si>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</si>
  <si>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</si>
  <si>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</si>
  <si>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</si>
  <si>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</si>
  <si>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</si>
  <si>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</si>
  <si>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</si>
  <si>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</si>
  <si>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</si>
  <si>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</si>
  <si>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</si>
  <si>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</si>
  <si>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</si>
  <si>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</si>
  <si>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</si>
  <si>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</si>
  <si>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</si>
  <si>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</si>
  <si>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</si>
  <si>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</si>
  <si>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</si>
  <si>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</si>
  <si>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</si>
  <si>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</si>
  <si>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</si>
  <si>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</si>
  <si>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</si>
  <si>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</si>
  <si>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</si>
  <si>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</si>
  <si>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</si>
  <si>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</si>
  <si>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</si>
  <si>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</si>
  <si>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</si>
  <si>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</si>
  <si>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</si>
  <si>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</si>
  <si>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</si>
  <si>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</si>
  <si>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</si>
  <si>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</si>
  <si>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</si>
  <si>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</si>
  <si>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</si>
  <si>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</si>
  <si>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</si>
  <si>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</si>
  <si>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</si>
  <si>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</si>
  <si>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</si>
  <si>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</si>
  <si>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</si>
  <si>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</si>
  <si>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</si>
  <si>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</si>
  <si>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</si>
  <si>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</si>
  <si>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</si>
  <si>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</si>
  <si>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</si>
  <si>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</si>
  <si>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</si>
  <si>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</si>
  <si>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</si>
  <si>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</si>
  <si>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</si>
  <si>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</si>
  <si>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</si>
  <si>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</si>
  <si>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</si>
  <si>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</si>
  <si>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</si>
  <si>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</si>
  <si>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</si>
  <si>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</si>
  <si>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</si>
  <si>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</si>
  <si>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</si>
  <si>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</si>
  <si>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</si>
  <si>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</si>
  <si>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</si>
  <si>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</si>
  <si>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</si>
  <si>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</si>
  <si>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</si>
  <si>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</si>
  <si>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</si>
  <si>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</si>
  <si>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</si>
  <si>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</si>
  <si>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</si>
  <si>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</si>
  <si>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</si>
  <si>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</si>
  <si>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</si>
  <si>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</si>
  <si>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</si>
  <si>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</si>
  <si>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</si>
  <si>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</si>
  <si>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</si>
  <si>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</si>
  <si>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</si>
  <si>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</si>
  <si>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</si>
  <si>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</si>
  <si>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</si>
  <si>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</si>
  <si>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</si>
  <si>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</si>
  <si>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</si>
  <si>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</si>
  <si>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</si>
  <si>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</si>
  <si>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</si>
  <si>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</si>
  <si>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</si>
  <si>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</si>
  <si>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</si>
  <si>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</si>
  <si>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</si>
  <si>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</si>
  <si>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</si>
  <si>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</si>
  <si>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</si>
  <si>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</si>
  <si>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</si>
  <si>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</si>
  <si>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</si>
  <si>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</si>
  <si>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</si>
  <si>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</si>
  <si>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</si>
  <si>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</si>
  <si>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</si>
  <si>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</si>
  <si>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</si>
  <si>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</si>
  <si>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</si>
  <si>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</si>
  <si>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</si>
  <si>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</si>
  <si>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</si>
  <si>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</si>
  <si>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</si>
  <si>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</si>
  <si>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</si>
  <si>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</si>
  <si>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</si>
  <si>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</si>
  <si>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</si>
  <si>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</si>
  <si>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</si>
  <si>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</si>
  <si>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</si>
  <si>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</si>
  <si>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</si>
  <si>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</si>
  <si>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</si>
  <si>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</si>
  <si>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</si>
  <si>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</si>
  <si>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</si>
  <si>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</si>
  <si>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</si>
  <si>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</si>
  <si>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</si>
  <si>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</si>
  <si>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</si>
  <si>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</si>
  <si>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</si>
  <si>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</si>
  <si>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</si>
  <si>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</si>
  <si>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</si>
  <si>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</si>
  <si>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</si>
  <si>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</si>
  <si>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</si>
  <si>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</si>
  <si>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</si>
  <si>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</si>
  <si>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</si>
  <si>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</si>
  <si>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</si>
  <si>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</si>
  <si>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</si>
  <si>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</si>
  <si>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</si>
  <si>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</si>
  <si>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</si>
  <si>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</si>
  <si>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</si>
  <si>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</si>
  <si>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</si>
  <si>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</si>
  <si>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</si>
  <si>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</si>
  <si>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</si>
  <si>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</si>
  <si>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</si>
  <si>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</si>
  <si>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</si>
  <si>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</si>
  <si>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</si>
  <si>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</si>
  <si>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</si>
  <si>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</si>
  <si>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</si>
  <si>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</si>
  <si>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</si>
  <si>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</si>
  <si>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</si>
  <si>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</si>
  <si>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</si>
  <si>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</si>
  <si>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</si>
  <si>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</si>
  <si>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</si>
  <si>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</si>
  <si>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</si>
  <si>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</si>
  <si>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</si>
  <si>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</si>
  <si>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</si>
  <si>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</si>
  <si>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</si>
  <si>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</si>
  <si>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</si>
  <si>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</si>
  <si>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</si>
  <si>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</si>
  <si>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</si>
  <si>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</si>
  <si>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</si>
  <si>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</si>
  <si>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</si>
  <si>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</si>
  <si>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</si>
  <si>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</si>
  <si>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</si>
  <si>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</si>
  <si>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</si>
  <si>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</si>
  <si>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</si>
  <si>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</si>
  <si>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</si>
  <si>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</si>
  <si>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</si>
  <si>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</si>
  <si>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</si>
  <si>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</si>
  <si>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</si>
  <si>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</si>
  <si>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</si>
  <si>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</si>
  <si>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</si>
  <si>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</si>
  <si>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</si>
  <si>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</si>
  <si>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</si>
  <si>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</si>
  <si>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</si>
  <si>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</si>
  <si>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</si>
  <si>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</si>
  <si>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</si>
  <si>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</si>
  <si>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</si>
  <si>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</si>
  <si>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</si>
  <si>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</si>
  <si>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</si>
  <si>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</si>
  <si>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</si>
  <si>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</si>
  <si>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</si>
  <si>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</si>
  <si>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</si>
  <si>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</si>
  <si>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</si>
  <si>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</si>
  <si>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</si>
  <si>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</si>
  <si>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</si>
  <si>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</si>
  <si>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</si>
  <si>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</si>
  <si>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</si>
  <si>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</si>
  <si>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</si>
  <si>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</si>
  <si>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</si>
  <si>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</si>
  <si>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</si>
  <si>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</si>
  <si>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</si>
  <si>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</si>
  <si>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</si>
  <si>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</si>
  <si>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</si>
  <si>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</si>
  <si>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</si>
  <si>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</si>
  <si>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</si>
  <si>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</si>
  <si>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</si>
  <si>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</si>
  <si>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</si>
  <si>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</si>
  <si>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</si>
  <si>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</si>
  <si>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</si>
  <si>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</si>
  <si>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</si>
  <si>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</si>
  <si>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</si>
  <si>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</si>
  <si>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</si>
  <si>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</si>
  <si>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</si>
  <si>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</si>
  <si>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</si>
  <si>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</si>
  <si>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</si>
  <si>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</si>
  <si>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</si>
  <si>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</si>
  <si>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</si>
  <si>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</si>
  <si>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</si>
  <si>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</si>
  <si>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</si>
  <si>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</si>
  <si>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</si>
  <si>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</si>
  <si>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</si>
  <si>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</si>
  <si>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</si>
  <si>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</si>
  <si>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</si>
  <si>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</si>
  <si>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</si>
  <si>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</si>
  <si>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</si>
  <si>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</si>
  <si>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</si>
  <si>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</si>
  <si>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</si>
  <si>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</si>
  <si>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</si>
  <si>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</si>
  <si>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</si>
  <si>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</si>
  <si>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</si>
  <si>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</si>
  <si>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</si>
  <si>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</si>
  <si>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</si>
  <si>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</si>
  <si>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</si>
  <si>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</si>
  <si>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</si>
  <si>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</si>
  <si>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</si>
  <si>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</si>
  <si>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</si>
  <si>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</si>
  <si>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</si>
  <si>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</si>
  <si>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</si>
  <si>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</si>
  <si>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</si>
  <si>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</si>
  <si>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</si>
  <si>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</si>
  <si>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</si>
  <si>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</si>
  <si>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</si>
  <si>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</si>
  <si>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</si>
  <si>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</si>
  <si>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</si>
  <si>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</si>
  <si>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</si>
  <si>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</si>
  <si>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</si>
  <si>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</si>
  <si>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</si>
  <si>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</si>
  <si>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</si>
  <si>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</si>
  <si>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</si>
  <si>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</si>
  <si>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</si>
  <si>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</si>
  <si>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</si>
  <si>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</si>
  <si>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</si>
  <si>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</si>
  <si>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</si>
  <si>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</si>
  <si>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</si>
  <si>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</si>
  <si>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</si>
  <si>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</si>
  <si>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</si>
  <si>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</si>
  <si>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</si>
  <si>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</si>
  <si>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</si>
  <si>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</si>
  <si>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</si>
  <si>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</si>
  <si>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</si>
  <si>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</si>
  <si>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</si>
  <si>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</si>
  <si>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</si>
  <si>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</si>
  <si>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</si>
  <si>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</si>
  <si>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</si>
  <si>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</si>
  <si>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</si>
  <si>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</si>
  <si>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</si>
  <si>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</si>
  <si>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</si>
  <si>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</si>
  <si>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</si>
  <si>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</si>
  <si>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</si>
  <si>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</si>
  <si>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</si>
  <si>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</si>
  <si>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</si>
  <si>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</si>
  <si>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</si>
  <si>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</si>
  <si>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</si>
  <si>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</si>
  <si>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</si>
  <si>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</si>
  <si>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</si>
  <si>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</si>
  <si>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</si>
  <si>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</si>
  <si>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</si>
  <si>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</si>
  <si>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</si>
  <si>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</si>
  <si>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</si>
  <si>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</si>
  <si>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</si>
  <si>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</si>
  <si>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</si>
  <si>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</si>
  <si>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</si>
  <si>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</si>
  <si>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</si>
  <si>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</si>
  <si>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</si>
  <si>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</si>
  <si>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</si>
  <si>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</si>
  <si>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</si>
  <si>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</si>
  <si>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</si>
  <si>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</si>
  <si>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</si>
  <si>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</si>
  <si>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</si>
  <si>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</si>
  <si>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</si>
  <si>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</si>
  <si>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</si>
  <si>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</si>
  <si>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</si>
  <si>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</si>
  <si>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</si>
  <si>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</si>
  <si>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</si>
  <si>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</si>
  <si>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</si>
  <si>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</si>
  <si>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</si>
  <si>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</si>
  <si>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</si>
  <si>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</si>
  <si>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</si>
  <si>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</si>
  <si>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</si>
  <si>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</si>
  <si>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</si>
  <si>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</si>
  <si>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</si>
  <si>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</si>
  <si>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</si>
  <si>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</si>
  <si>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</si>
  <si>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</si>
  <si>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</si>
  <si>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</si>
  <si>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</si>
  <si>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</si>
  <si>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</si>
  <si>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</si>
  <si>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</si>
  <si>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</si>
  <si>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</si>
  <si>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</si>
  <si>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</si>
  <si>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</si>
  <si>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</si>
  <si>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</si>
  <si>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</si>
  <si>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</si>
  <si>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</si>
  <si>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</si>
  <si>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</si>
  <si>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</si>
  <si>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</si>
  <si>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</si>
  <si>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</si>
  <si>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</si>
  <si>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</si>
  <si>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</si>
  <si>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</si>
  <si>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</si>
  <si>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</si>
  <si>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</si>
  <si>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</si>
  <si>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</si>
  <si>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</si>
  <si>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</si>
  <si>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</si>
  <si>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</si>
  <si>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</si>
  <si>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</si>
  <si>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</si>
  <si>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</si>
  <si>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</si>
  <si>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</si>
  <si>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</si>
  <si>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</si>
  <si>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</si>
  <si>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</si>
  <si>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</si>
  <si>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</si>
  <si>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</si>
  <si>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</si>
  <si>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</si>
  <si>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</si>
  <si>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</si>
  <si>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</si>
  <si>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</si>
  <si>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</si>
  <si>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</si>
  <si>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</si>
  <si>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</si>
  <si>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</si>
  <si>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</si>
  <si>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</si>
  <si>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</si>
  <si>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</si>
  <si>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</si>
  <si>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</si>
  <si>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</si>
  <si>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</si>
  <si>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</si>
  <si>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</si>
  <si>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</si>
  <si>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</si>
  <si>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</si>
  <si>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</si>
  <si>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</si>
  <si>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</si>
  <si>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</si>
  <si>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</si>
  <si>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</si>
  <si>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</si>
  <si>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</si>
  <si>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</si>
  <si>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</si>
  <si>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</si>
  <si>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</si>
  <si>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</si>
  <si>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</si>
  <si>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</si>
  <si>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</si>
  <si>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</si>
  <si>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</si>
  <si>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</si>
  <si>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</si>
  <si>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</si>
  <si>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</si>
  <si>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</si>
  <si>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</si>
  <si>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</si>
  <si>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</si>
  <si>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</si>
  <si>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</si>
  <si>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</si>
  <si>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</si>
  <si>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</si>
  <si>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</si>
  <si>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</si>
  <si>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</si>
  <si>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</si>
  <si>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</si>
  <si>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</si>
  <si>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</si>
  <si>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</si>
  <si>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</si>
  <si>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</si>
  <si>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</si>
  <si>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</si>
  <si>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</si>
  <si>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</si>
  <si>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</si>
  <si>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</si>
  <si>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</si>
  <si>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</si>
  <si>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</si>
  <si>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</si>
  <si>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</si>
  <si>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</si>
  <si>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</si>
  <si>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</si>
  <si>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</si>
  <si>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</si>
  <si>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</si>
  <si>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</si>
  <si>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</si>
  <si>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</si>
  <si>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</si>
  <si>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</si>
  <si>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</si>
  <si>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</si>
  <si>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</si>
  <si>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</si>
  <si>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</si>
  <si>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</si>
  <si>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</si>
  <si>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</si>
  <si>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</si>
  <si>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</si>
  <si>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</si>
  <si>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</si>
  <si>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</si>
  <si>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</si>
  <si>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</si>
  <si>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</si>
  <si>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</si>
  <si>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</si>
  <si>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</si>
  <si>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</si>
  <si>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</si>
  <si>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</si>
  <si>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</si>
  <si>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</si>
  <si>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</si>
  <si>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</si>
  <si>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</si>
  <si>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</si>
  <si>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</si>
  <si>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</si>
  <si>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</si>
  <si>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</si>
  <si>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</si>
  <si>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</si>
  <si>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</si>
  <si>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</si>
  <si>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</si>
  <si>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</si>
  <si>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</si>
  <si>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</si>
  <si>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</si>
  <si>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</si>
  <si>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</si>
  <si>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</si>
  <si>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</si>
  <si>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</si>
  <si>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</si>
  <si>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</si>
  <si>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</si>
  <si>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</si>
  <si>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</si>
  <si>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</si>
  <si>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</si>
  <si>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</si>
  <si>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</si>
  <si>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</si>
  <si>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</si>
  <si>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</si>
  <si>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</si>
  <si>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</si>
  <si>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</si>
  <si>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</si>
  <si>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</si>
  <si>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</si>
  <si>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</si>
  <si>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</si>
  <si>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</si>
  <si>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</si>
  <si>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</si>
  <si>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</si>
  <si>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</si>
  <si>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</si>
  <si>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</si>
  <si>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</si>
  <si>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</si>
  <si>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</si>
  <si>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</si>
  <si>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</si>
  <si>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</si>
  <si>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</si>
  <si>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</si>
  <si>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</si>
  <si>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</si>
  <si>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</si>
  <si>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</si>
  <si>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</si>
  <si>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</si>
  <si>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</si>
  <si>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</si>
  <si>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</si>
  <si>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</si>
  <si>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</si>
  <si>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</si>
  <si>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</si>
  <si>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</si>
  <si>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</si>
  <si>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</si>
  <si>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</si>
  <si>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</si>
  <si>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</si>
  <si>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</si>
  <si>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</si>
  <si>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</si>
  <si>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</si>
  <si>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</si>
  <si>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</si>
  <si>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</si>
  <si>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</si>
  <si>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</si>
  <si>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</si>
  <si>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</si>
  <si>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</si>
  <si>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</si>
  <si>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</si>
  <si>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</si>
  <si>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</si>
  <si>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</si>
  <si>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</si>
  <si>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</si>
  <si>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</si>
  <si>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</si>
  <si>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</si>
  <si>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</si>
  <si>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</si>
  <si>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</si>
  <si>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</si>
  <si>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</si>
  <si>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</si>
  <si>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</si>
  <si>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</si>
  <si>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</si>
  <si>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</si>
  <si>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</si>
  <si>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</si>
  <si>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</si>
  <si>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</si>
  <si>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</si>
  <si>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</si>
  <si>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</si>
  <si>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</si>
  <si>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</si>
  <si>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</si>
  <si>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</si>
  <si>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</si>
  <si>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</si>
  <si>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</si>
  <si>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</si>
  <si>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</si>
  <si>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</si>
  <si>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</si>
  <si>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</si>
  <si>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</si>
  <si>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</si>
  <si>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</si>
  <si>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</si>
  <si>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</si>
  <si>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</si>
  <si>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</si>
  <si>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</si>
  <si>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</si>
  <si>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</si>
  <si>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</si>
  <si>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</si>
  <si>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</si>
  <si>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</si>
  <si>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</si>
  <si>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</si>
  <si>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</si>
  <si>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</si>
  <si>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</si>
  <si>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</si>
  <si>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</si>
  <si>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</si>
  <si>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</si>
  <si>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</si>
  <si>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</si>
  <si>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</si>
  <si>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</si>
  <si>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</si>
  <si>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</si>
  <si>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</si>
  <si>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</si>
  <si>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</si>
  <si>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</si>
  <si>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</si>
  <si>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</si>
  <si>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</si>
  <si>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</si>
  <si>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</si>
  <si>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</si>
  <si>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</si>
  <si>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</si>
  <si>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</si>
  <si>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</si>
  <si>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</si>
  <si>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</si>
  <si>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</si>
  <si>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</si>
  <si>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</si>
  <si>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</si>
  <si>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</si>
  <si>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</si>
  <si>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</si>
  <si>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</si>
  <si>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</si>
  <si>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</si>
  <si>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</si>
  <si>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</si>
  <si>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</si>
  <si>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</si>
  <si>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</si>
  <si>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</si>
  <si>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</si>
  <si>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</si>
  <si>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</si>
  <si>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</si>
  <si>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</si>
  <si>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</si>
  <si>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</si>
  <si>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</si>
  <si>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</si>
  <si>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</si>
  <si>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</si>
  <si>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</si>
  <si>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</si>
  <si>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</si>
  <si>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</si>
  <si>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</si>
  <si>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</si>
  <si>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</si>
  <si>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</si>
  <si>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</si>
  <si>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</si>
  <si>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</si>
  <si>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</si>
  <si>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</si>
  <si>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</si>
  <si>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</si>
  <si>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</si>
  <si>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</si>
  <si>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</si>
  <si>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</si>
  <si>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</si>
  <si>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</si>
  <si>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</si>
  <si>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</si>
  <si>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</si>
  <si>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</si>
  <si>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</si>
  <si>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</si>
  <si>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</si>
  <si>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</si>
  <si>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</si>
  <si>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</si>
  <si>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</si>
  <si>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</si>
  <si>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</si>
  <si>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</si>
  <si>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</si>
  <si>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</si>
  <si>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</si>
  <si>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</si>
  <si>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</si>
  <si>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</si>
  <si>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</si>
  <si>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</si>
  <si>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</si>
  <si>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</si>
  <si>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</si>
  <si>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</si>
  <si>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</si>
  <si>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</si>
  <si>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</si>
  <si>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</si>
  <si>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</si>
  <si>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</si>
  <si>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</si>
  <si>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</si>
  <si>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</si>
  <si>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</si>
  <si>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</si>
  <si>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</si>
  <si>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</si>
  <si>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</si>
  <si>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</si>
  <si>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</si>
  <si>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</si>
  <si>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</si>
  <si>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</si>
  <si>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</si>
  <si>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</si>
  <si>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</si>
  <si>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</si>
  <si>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</si>
  <si>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</si>
  <si>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</si>
  <si>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</si>
  <si>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</si>
  <si>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</si>
  <si>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</si>
  <si>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</si>
  <si>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</si>
  <si>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</si>
  <si>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</si>
  <si>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</si>
  <si>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</si>
  <si>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</si>
  <si>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</si>
  <si>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</si>
  <si>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</si>
  <si>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</si>
  <si>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</si>
  <si>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</si>
  <si>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</si>
  <si>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</si>
  <si>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</si>
  <si>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</si>
  <si>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</si>
  <si>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</si>
  <si>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</si>
  <si>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</si>
  <si>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</si>
  <si>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</si>
  <si>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</si>
  <si>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</si>
  <si>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</si>
  <si>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</si>
  <si>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</si>
  <si>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</si>
  <si>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</si>
  <si>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</si>
  <si>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</si>
  <si>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</si>
  <si>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</si>
  <si>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</si>
  <si>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</si>
  <si>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</si>
  <si>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</si>
  <si>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</si>
  <si>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</si>
  <si>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</si>
  <si>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</si>
  <si>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</si>
  <si>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</si>
  <si>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</si>
  <si>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</si>
  <si>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</si>
  <si>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</si>
  <si>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</si>
  <si>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</si>
  <si>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</si>
  <si>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</si>
  <si>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</si>
  <si>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</si>
  <si>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</si>
  <si>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</si>
  <si>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</si>
  <si>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</si>
  <si>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</si>
  <si>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</si>
  <si>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</si>
  <si>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</si>
  <si>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</si>
  <si>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</si>
  <si>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</si>
  <si>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</si>
  <si>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</si>
  <si>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</si>
  <si>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</si>
  <si>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</si>
  <si>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</si>
  <si>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</si>
  <si>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</si>
  <si>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</si>
  <si>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</si>
  <si>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</si>
  <si>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</si>
  <si>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</si>
  <si>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</si>
  <si>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</si>
  <si>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</si>
  <si>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</si>
  <si>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</si>
  <si>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</si>
  <si>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</si>
  <si>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</si>
  <si>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</si>
  <si>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</si>
  <si>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</si>
  <si>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</si>
  <si>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</si>
  <si>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</si>
  <si>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</si>
  <si>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</si>
  <si>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</si>
  <si>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</si>
  <si>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</si>
  <si>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</si>
  <si>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</si>
  <si>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</si>
  <si>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</si>
  <si>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</si>
  <si>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</si>
  <si>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</si>
  <si>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</si>
  <si>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</si>
  <si>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</si>
  <si>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</si>
  <si>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</si>
  <si>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</si>
  <si>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</si>
  <si>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</si>
  <si>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</si>
  <si>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</si>
  <si>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</si>
  <si>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</si>
  <si>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</si>
  <si>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</si>
  <si>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</si>
  <si>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</si>
  <si>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</si>
  <si>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</si>
  <si>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</si>
  <si>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</si>
  <si>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</si>
  <si>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</si>
  <si>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</si>
  <si>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</si>
  <si>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</si>
  <si>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</si>
  <si>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</si>
  <si>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</si>
  <si>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</si>
  <si>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</si>
  <si>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</si>
  <si>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</si>
  <si>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</si>
  <si>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</si>
  <si>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</si>
  <si>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</si>
  <si>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</si>
  <si>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</si>
  <si>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</si>
  <si>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</si>
  <si>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</si>
  <si>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</si>
  <si>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</si>
  <si>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</si>
  <si>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</si>
  <si>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</si>
  <si>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</si>
  <si>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</si>
  <si>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</si>
  <si>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</si>
  <si>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</si>
  <si>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</si>
  <si>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</si>
  <si>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</si>
  <si>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</si>
  <si>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</si>
  <si>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</si>
  <si>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</si>
  <si>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</si>
  <si>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</si>
  <si>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</si>
  <si>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</si>
  <si>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</si>
  <si>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</si>
  <si>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</si>
  <si>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</si>
  <si>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</si>
  <si>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</si>
  <si>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</si>
  <si>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</si>
  <si>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</si>
  <si>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</si>
  <si>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</si>
  <si>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</si>
  <si>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</si>
  <si>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</si>
  <si>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</si>
  <si>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</si>
  <si>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</si>
  <si>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</si>
  <si>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</si>
  <si>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</si>
  <si>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</si>
  <si>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</si>
  <si>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</si>
  <si>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</si>
  <si>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</si>
  <si>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</si>
  <si>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</si>
  <si>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</si>
  <si>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</si>
  <si>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</si>
  <si>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</si>
  <si>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</si>
  <si>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</si>
  <si>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</si>
  <si>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</si>
  <si>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</si>
  <si>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</si>
  <si>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</si>
  <si>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</si>
  <si>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</si>
  <si>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</si>
  <si>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</si>
  <si>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</si>
  <si>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</si>
  <si>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</si>
  <si>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</si>
  <si>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</si>
  <si>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</si>
  <si>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</si>
  <si>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</si>
  <si>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</si>
  <si>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</si>
  <si>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</si>
  <si>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</si>
  <si>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</si>
  <si>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</si>
  <si>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</si>
  <si>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</si>
  <si>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</si>
  <si>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</si>
  <si>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</si>
  <si>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</si>
  <si>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</si>
  <si>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</si>
  <si>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</si>
  <si>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</si>
  <si>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</si>
  <si>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</si>
  <si>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</si>
  <si>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</si>
  <si>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</si>
  <si>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</si>
  <si>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</si>
  <si>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</si>
  <si>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</si>
  <si>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</si>
  <si>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</si>
  <si>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</si>
  <si>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</si>
  <si>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</si>
  <si>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</si>
  <si>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</si>
  <si>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</si>
  <si>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</si>
  <si>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</si>
  <si>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</si>
  <si>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</si>
  <si>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</si>
  <si>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</si>
  <si>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</si>
  <si>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</si>
  <si>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</si>
  <si>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</si>
  <si>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</si>
  <si>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</si>
  <si>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</si>
  <si>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</si>
  <si>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</si>
  <si>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</si>
  <si>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</si>
  <si>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</si>
  <si>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</si>
  <si>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</si>
  <si>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</si>
  <si>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</si>
  <si>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</si>
  <si>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</si>
  <si>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</si>
  <si>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</si>
  <si>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</si>
  <si>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</si>
  <si>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</si>
  <si>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</si>
  <si>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</si>
  <si>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</si>
  <si>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</si>
  <si>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</si>
  <si>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</si>
  <si>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</si>
  <si>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</si>
  <si>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</si>
  <si>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</si>
  <si>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</si>
  <si>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</si>
  <si>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</si>
  <si>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</si>
  <si>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</si>
  <si>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</si>
  <si>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</si>
  <si>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</si>
  <si>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</si>
  <si>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</si>
  <si>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</si>
  <si>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</si>
  <si>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</si>
  <si>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</si>
  <si>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</si>
  <si>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</si>
  <si>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</si>
  <si>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</si>
  <si>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</si>
  <si>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</si>
  <si>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</si>
  <si>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</si>
  <si>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</si>
  <si>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</si>
  <si>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</si>
  <si>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</si>
  <si>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</si>
  <si>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</si>
  <si>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</si>
  <si>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</si>
  <si>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</si>
  <si>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</si>
  <si>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</si>
  <si>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</si>
  <si>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</si>
  <si>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</si>
  <si>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</si>
  <si>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</si>
  <si>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</si>
  <si>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</si>
  <si>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</si>
  <si>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</si>
  <si>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</si>
  <si>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</si>
  <si>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</si>
  <si>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</si>
  <si>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</si>
  <si>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</si>
  <si>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</si>
  <si>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</si>
  <si>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</si>
  <si>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</si>
  <si>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</si>
  <si>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</si>
  <si>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</si>
  <si>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</si>
  <si>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</si>
  <si>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</si>
  <si>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</si>
  <si>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</si>
  <si>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</si>
  <si>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</si>
  <si>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</si>
  <si>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</si>
  <si>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</si>
  <si>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</si>
  <si>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</si>
  <si>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</si>
  <si>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</si>
  <si>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</si>
  <si>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</si>
  <si>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</si>
  <si>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</si>
  <si>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</si>
  <si>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</si>
  <si>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</si>
  <si>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</si>
  <si>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</si>
  <si>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</si>
  <si>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</si>
  <si>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</si>
  <si>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</si>
  <si>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</si>
  <si>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</si>
  <si>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</si>
  <si>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</si>
  <si>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</si>
  <si>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</si>
  <si>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</si>
  <si>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</si>
  <si>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</si>
  <si>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</si>
  <si>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</si>
  <si>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</si>
  <si>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</si>
  <si>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</si>
  <si>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</si>
  <si>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</si>
  <si>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</si>
  <si>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</si>
  <si>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</si>
  <si>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</si>
  <si>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</si>
  <si>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</si>
  <si>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</si>
  <si>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</si>
  <si>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</si>
  <si>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</si>
  <si>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</si>
  <si>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</si>
  <si>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</si>
  <si>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</si>
  <si>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</si>
  <si>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</si>
  <si>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</si>
  <si>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</si>
  <si>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</si>
  <si>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</si>
  <si>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</si>
  <si>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</si>
  <si>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</si>
  <si>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</si>
  <si>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</si>
  <si>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</si>
  <si>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</si>
  <si>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</si>
  <si>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</si>
  <si>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</si>
  <si>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</si>
  <si>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</si>
  <si>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</si>
  <si>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</si>
  <si>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</si>
  <si>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</si>
  <si>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</si>
  <si>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</si>
  <si>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</si>
  <si>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</si>
  <si>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</si>
  <si>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</si>
  <si>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</si>
  <si>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</si>
  <si>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</si>
  <si>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</si>
  <si>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</si>
  <si>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</si>
  <si>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</si>
  <si>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</si>
  <si>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</si>
  <si>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</si>
  <si>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</si>
  <si>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</si>
  <si>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</si>
  <si>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</si>
  <si>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</si>
  <si>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</si>
  <si>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</si>
  <si>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</si>
  <si>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</si>
  <si>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</si>
  <si>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</si>
  <si>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</si>
  <si>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</si>
  <si>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</si>
  <si>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</si>
  <si>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</si>
  <si>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</si>
  <si>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</si>
  <si>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</si>
  <si>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</si>
  <si>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</si>
  <si>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</si>
  <si>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</si>
  <si>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</si>
  <si>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</si>
  <si>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</si>
  <si>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</si>
  <si>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</si>
  <si>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</si>
  <si>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</si>
  <si>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</si>
  <si>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</si>
  <si>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</si>
  <si>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</si>
  <si>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</si>
  <si>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</si>
  <si>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</si>
  <si>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</si>
  <si>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</si>
  <si>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</si>
  <si>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</si>
  <si>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</si>
  <si>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</si>
  <si>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</si>
  <si>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</si>
  <si>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</si>
  <si>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</si>
  <si>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</si>
  <si>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</si>
  <si>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</si>
  <si>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</si>
  <si>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</si>
  <si>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</si>
  <si>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</si>
  <si>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</si>
  <si>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</si>
  <si>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</si>
  <si>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</si>
  <si>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</si>
  <si>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</si>
  <si>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</si>
  <si>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</si>
  <si>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</si>
  <si>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</si>
  <si>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</si>
  <si>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</si>
  <si>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</si>
  <si>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</si>
  <si>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</si>
  <si>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</si>
  <si>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</si>
  <si>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</si>
  <si>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</si>
  <si>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</si>
  <si>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</si>
  <si>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</si>
  <si>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</si>
  <si>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</si>
  <si>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</si>
  <si>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</si>
  <si>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</si>
  <si>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</si>
  <si>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</si>
  <si>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</si>
  <si>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</si>
  <si>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</si>
  <si>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</si>
  <si>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</si>
  <si>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</si>
  <si>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</si>
  <si>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</si>
  <si>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</si>
  <si>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</si>
  <si>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</si>
  <si>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</si>
  <si>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</si>
  <si>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</si>
  <si>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</si>
  <si>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</si>
  <si>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</si>
  <si>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</si>
  <si>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</si>
  <si>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</si>
  <si>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</si>
  <si>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</si>
  <si>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</si>
  <si>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</si>
  <si>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</si>
  <si>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</si>
  <si>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</si>
  <si>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</si>
  <si>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</si>
  <si>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</si>
  <si>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</si>
  <si>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</si>
  <si>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</si>
  <si>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</si>
  <si>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</si>
  <si>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</si>
  <si>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</si>
  <si>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</si>
  <si>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</si>
  <si>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</si>
  <si>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</si>
  <si>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</si>
  <si>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</si>
  <si>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</si>
  <si>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</si>
  <si>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</si>
  <si>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</si>
  <si>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</si>
  <si>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</si>
  <si>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</si>
  <si>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</si>
  <si>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</si>
  <si>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</si>
  <si>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</si>
  <si>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</si>
  <si>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</si>
  <si>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</si>
  <si>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</si>
  <si>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</si>
  <si>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</si>
  <si>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</si>
  <si>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</si>
  <si>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</si>
  <si>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</si>
  <si>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</si>
  <si>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</si>
  <si>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</si>
  <si>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</si>
  <si>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</si>
  <si>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</si>
  <si>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</si>
  <si>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</si>
  <si>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</si>
  <si>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</si>
  <si>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</si>
  <si>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</si>
  <si>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</si>
  <si>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</si>
  <si>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</si>
  <si>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</si>
  <si>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</si>
  <si>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</si>
  <si>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</si>
  <si>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</si>
  <si>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</si>
  <si>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</si>
  <si>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</si>
  <si>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</si>
  <si>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</si>
  <si>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</si>
  <si>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</si>
  <si>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</si>
  <si>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</si>
  <si>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</si>
  <si>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</si>
  <si>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</si>
  <si>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</si>
  <si>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</si>
  <si>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</si>
  <si>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</si>
  <si>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</si>
  <si>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</si>
  <si>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</si>
  <si>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</si>
  <si>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</si>
  <si>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</si>
  <si>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</si>
  <si>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</si>
  <si>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</si>
  <si>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</si>
  <si>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</si>
  <si>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</si>
  <si>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</si>
  <si>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</si>
  <si>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</si>
  <si>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</si>
  <si>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</si>
  <si>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</si>
  <si>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</si>
  <si>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</si>
  <si>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</si>
  <si>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</si>
  <si>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</si>
  <si>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</si>
  <si>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</si>
  <si>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</si>
  <si>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</si>
  <si>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</si>
  <si>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</si>
  <si>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</si>
  <si>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</si>
  <si>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</si>
  <si>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</si>
  <si>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</si>
  <si>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</si>
  <si>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</si>
  <si>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</si>
  <si>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</si>
  <si>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</si>
  <si>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</si>
  <si>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</si>
  <si>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</si>
  <si>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</si>
  <si>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</si>
  <si>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</si>
  <si>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</si>
  <si>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</si>
  <si>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</si>
  <si>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</si>
  <si>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</si>
  <si>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</si>
  <si>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</si>
  <si>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</si>
  <si>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</si>
  <si>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</si>
  <si>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</si>
  <si>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</si>
  <si>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</si>
  <si>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</si>
  <si>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</si>
  <si>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</si>
  <si>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</si>
  <si>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</si>
  <si>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</si>
  <si>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</si>
  <si>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</si>
  <si>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</si>
  <si>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</si>
  <si>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</si>
  <si>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</si>
  <si>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</si>
  <si>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</si>
  <si>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</si>
  <si>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</si>
  <si>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</si>
  <si>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</si>
  <si>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</si>
  <si>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</si>
  <si>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</si>
  <si>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</si>
  <si>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</si>
  <si>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</si>
  <si>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</si>
  <si>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</si>
  <si>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</si>
  <si>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</si>
  <si>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</si>
  <si>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</si>
  <si>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</si>
  <si>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</si>
  <si>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</si>
  <si>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</si>
  <si>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</si>
  <si>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</si>
  <si>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</si>
  <si>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</si>
  <si>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</si>
  <si>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</si>
  <si>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</si>
  <si>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</si>
  <si>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</si>
  <si>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</si>
  <si>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</si>
  <si>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</si>
  <si>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</si>
  <si>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</si>
  <si>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</si>
  <si>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</si>
  <si>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</si>
  <si>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</si>
  <si>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</si>
  <si>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</si>
  <si>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</si>
  <si>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</si>
  <si>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</si>
  <si>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</si>
  <si>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</si>
  <si>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</si>
  <si>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</si>
  <si>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</si>
  <si>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</si>
  <si>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</si>
  <si>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</si>
  <si>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</si>
  <si>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</si>
  <si>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</si>
  <si>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</si>
  <si>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</si>
  <si>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</si>
  <si>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</si>
  <si>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</si>
  <si>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</si>
  <si>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</si>
  <si>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</si>
  <si>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</si>
  <si>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</si>
  <si>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</si>
  <si>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</si>
  <si>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</si>
  <si>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</si>
  <si>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</si>
  <si>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</si>
  <si>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</si>
  <si>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</si>
  <si>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</si>
  <si>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</si>
  <si>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</si>
  <si>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</si>
  <si>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</si>
  <si>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</si>
  <si>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</si>
  <si>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</si>
  <si>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</si>
  <si>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</si>
  <si>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</si>
  <si>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</si>
  <si>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</si>
  <si>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</si>
  <si>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</si>
  <si>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</si>
  <si>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</si>
  <si>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</si>
  <si>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</si>
  <si>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</si>
  <si>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</si>
  <si>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</si>
  <si>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</si>
  <si>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</si>
  <si>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</si>
  <si>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</si>
  <si>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</si>
  <si>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</si>
  <si>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</si>
  <si>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</si>
  <si>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</si>
  <si>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</si>
  <si>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</si>
  <si>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</si>
  <si>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</si>
  <si>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</si>
  <si>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</si>
  <si>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</si>
  <si>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</si>
  <si>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</si>
  <si>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</si>
  <si>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</si>
  <si>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</si>
  <si>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</si>
  <si>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</si>
  <si>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</si>
  <si>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</si>
  <si>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</si>
  <si>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</si>
  <si>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</si>
  <si>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</si>
  <si>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</si>
  <si>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</si>
  <si>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</si>
  <si>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</si>
  <si>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</si>
  <si>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</si>
  <si>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</si>
  <si>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</si>
  <si>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</si>
  <si>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</si>
  <si>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</si>
  <si>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</si>
  <si>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</si>
  <si>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</si>
  <si>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</si>
  <si>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</si>
  <si>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</si>
  <si>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</si>
  <si>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</si>
  <si>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</si>
  <si>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</si>
  <si>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</si>
  <si>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</si>
  <si>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</si>
  <si>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</si>
  <si>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</si>
  <si>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</si>
  <si>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</si>
  <si>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</si>
  <si>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</si>
  <si>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</si>
  <si>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</si>
  <si>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</si>
  <si>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</si>
  <si>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</si>
  <si>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</si>
  <si>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</si>
  <si>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</si>
  <si>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</si>
  <si>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</si>
  <si>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</si>
  <si>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</si>
  <si>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</si>
  <si>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</si>
  <si>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</si>
  <si>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</si>
  <si>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</si>
  <si>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</si>
  <si>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</si>
  <si>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</si>
  <si>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</si>
  <si>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</si>
  <si>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</si>
  <si>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</si>
  <si>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</si>
  <si>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</si>
  <si>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</si>
  <si>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</si>
  <si>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</si>
  <si>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</si>
  <si>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</si>
  <si>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</si>
  <si>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</si>
  <si>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</si>
  <si>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</si>
  <si>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</si>
  <si>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</si>
  <si>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</si>
  <si>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</si>
  <si>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</si>
  <si>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</si>
  <si>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</si>
  <si>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</si>
  <si>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</si>
  <si>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</si>
  <si>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</si>
  <si>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</si>
  <si>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</si>
  <si>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</si>
  <si>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</si>
  <si>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</si>
  <si>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</si>
  <si>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</si>
  <si>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</si>
  <si>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</si>
  <si>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</si>
  <si>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</si>
  <si>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</si>
  <si>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</si>
  <si>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</si>
  <si>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</si>
  <si>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</si>
  <si>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</si>
  <si>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</si>
  <si>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</si>
  <si>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</si>
  <si>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</si>
  <si>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</si>
  <si>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</si>
  <si>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</si>
  <si>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</si>
  <si>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</si>
  <si>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</si>
  <si>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</si>
  <si>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</si>
  <si>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</si>
  <si>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</si>
  <si>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</si>
  <si>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</si>
  <si>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</si>
  <si>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</si>
  <si>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</si>
  <si>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</si>
  <si>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</si>
  <si>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</si>
  <si>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</si>
  <si>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</si>
  <si>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</si>
  <si>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</si>
  <si>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</si>
  <si>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</si>
  <si>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</si>
  <si>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</si>
  <si>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</si>
  <si>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</si>
  <si>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</si>
  <si>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</si>
  <si>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</si>
  <si>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</si>
  <si>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</si>
  <si>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</si>
  <si>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</si>
  <si>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</si>
  <si>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</si>
  <si>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</si>
  <si>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</si>
  <si>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</si>
  <si>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</si>
  <si>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</si>
  <si>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</si>
  <si>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</si>
  <si>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</si>
  <si>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</si>
  <si>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</si>
  <si>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</si>
  <si>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</si>
  <si>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</si>
  <si>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</si>
  <si>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</si>
  <si>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</si>
  <si>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</si>
  <si>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</si>
  <si>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</si>
  <si>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</si>
  <si>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</si>
  <si>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</si>
  <si>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</si>
  <si>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</si>
  <si>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</si>
  <si>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</si>
  <si>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</si>
  <si>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</si>
  <si>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</si>
  <si>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</si>
  <si>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</si>
  <si>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</si>
  <si>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</si>
  <si>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</si>
  <si>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</si>
  <si>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</si>
  <si>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</si>
  <si>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</si>
  <si>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</si>
  <si>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</si>
  <si>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</si>
  <si>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</si>
  <si>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</si>
  <si>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</si>
  <si>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</si>
  <si>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</si>
  <si>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</si>
  <si>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</si>
  <si>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</si>
  <si>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</si>
  <si>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</si>
  <si>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</si>
  <si>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</si>
  <si>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</si>
  <si>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</si>
  <si>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</si>
  <si>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</si>
  <si>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</si>
  <si>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</si>
  <si>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</si>
  <si>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</si>
  <si>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</si>
  <si>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</si>
  <si>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</si>
  <si>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</si>
  <si>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</si>
  <si>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</si>
  <si>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</si>
  <si>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</si>
  <si>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</si>
  <si>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</si>
  <si>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</si>
  <si>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</si>
  <si>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</si>
  <si>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</si>
  <si>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</si>
  <si>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</si>
  <si>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</si>
  <si>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</si>
  <si>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</si>
  <si>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</si>
  <si>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</si>
  <si>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</si>
  <si>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</si>
  <si>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</si>
  <si>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</si>
  <si>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</si>
  <si>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</si>
  <si>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</si>
  <si>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</si>
  <si>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</si>
  <si>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</si>
  <si>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</si>
  <si>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</si>
  <si>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</si>
  <si>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</si>
  <si>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</si>
  <si>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</si>
  <si>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</si>
  <si>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</si>
  <si>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</si>
  <si>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</si>
  <si>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</si>
  <si>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</si>
  <si>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</si>
  <si>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</si>
  <si>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</si>
  <si>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</si>
  <si>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</si>
  <si>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</si>
  <si>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</si>
  <si>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</si>
  <si>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</si>
  <si>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</si>
  <si>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</si>
  <si>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</si>
  <si>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</si>
  <si>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</si>
  <si>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</si>
  <si>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</si>
  <si>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</si>
  <si>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</si>
  <si>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</si>
  <si>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</si>
  <si>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</si>
  <si>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</si>
  <si>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</si>
  <si>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</si>
  <si>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</si>
  <si>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</si>
  <si>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</si>
  <si>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</si>
  <si>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</si>
  <si>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</si>
  <si>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</si>
  <si>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</si>
  <si>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</si>
  <si>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</si>
  <si>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</si>
  <si>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</si>
  <si>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</si>
  <si>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</si>
  <si>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</si>
  <si>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</si>
  <si>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</si>
  <si>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</si>
  <si>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</si>
  <si>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</si>
  <si>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</si>
  <si>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</si>
  <si>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</si>
  <si>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</si>
  <si>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</si>
  <si>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</si>
  <si>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</si>
  <si>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</si>
  <si>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</si>
  <si>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</si>
  <si>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</si>
  <si>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</si>
  <si>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</si>
  <si>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</si>
  <si>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</si>
  <si>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</si>
  <si>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</si>
  <si>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</si>
  <si>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</si>
  <si>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</si>
  <si>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</si>
  <si>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</si>
  <si>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</si>
  <si>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</si>
  <si>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</si>
  <si>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</si>
  <si>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</si>
  <si>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</si>
  <si>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</si>
  <si>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</si>
  <si>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</si>
  <si>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</si>
  <si>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</si>
  <si>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</si>
  <si>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</si>
  <si>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</si>
  <si>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</si>
  <si>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</si>
  <si>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</si>
  <si>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</si>
  <si>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</si>
  <si>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</si>
  <si>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</si>
  <si>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</si>
  <si>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</si>
  <si>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</si>
  <si>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</si>
  <si>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</si>
  <si>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</si>
  <si>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</si>
  <si>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</si>
  <si>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</si>
  <si>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</si>
  <si>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</si>
  <si>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</si>
  <si>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</si>
  <si>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</si>
  <si>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</si>
  <si>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</si>
  <si>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</si>
  <si>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</si>
  <si>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</si>
  <si>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</si>
  <si>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</si>
  <si>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</si>
  <si>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</si>
  <si>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</si>
  <si>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</si>
  <si>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</si>
  <si>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</si>
  <si>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</si>
  <si>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</si>
  <si>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</si>
  <si>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</si>
  <si>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</si>
  <si>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</si>
  <si>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</si>
  <si>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</si>
  <si>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</si>
  <si>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</si>
  <si>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</si>
  <si>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</si>
  <si>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</si>
  <si>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</si>
  <si>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</si>
  <si>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</si>
  <si>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</si>
  <si>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</si>
  <si>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</si>
  <si>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</si>
  <si>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</si>
  <si>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</si>
  <si>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</si>
  <si>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</si>
  <si>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</si>
  <si>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</si>
  <si>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</si>
  <si>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</si>
  <si>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</si>
  <si>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</si>
  <si>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</si>
  <si>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</si>
  <si>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</si>
  <si>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</si>
  <si>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</si>
  <si>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</si>
  <si>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</si>
  <si>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</si>
  <si>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</si>
  <si>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</si>
  <si>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</si>
  <si>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</si>
  <si>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</si>
  <si>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</si>
  <si>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</si>
  <si>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</si>
  <si>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</si>
  <si>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</si>
  <si>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</si>
  <si>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</si>
  <si>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</si>
  <si>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</si>
  <si>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</si>
  <si>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</si>
  <si>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</si>
  <si>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</si>
  <si>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</si>
  <si>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</si>
  <si>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</si>
  <si>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</si>
  <si>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</si>
  <si>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</si>
  <si>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</si>
  <si>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</si>
  <si>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</si>
  <si>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</si>
  <si>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</si>
  <si>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</si>
  <si>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</si>
  <si>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</si>
  <si>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</si>
  <si>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</si>
  <si>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</si>
  <si>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</si>
  <si>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</si>
  <si>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</si>
  <si>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</si>
  <si>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</si>
  <si>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</si>
  <si>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</si>
  <si>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</si>
  <si>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</si>
  <si>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</si>
  <si>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</si>
  <si>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</si>
  <si>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</si>
  <si>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</si>
  <si>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</si>
  <si>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</si>
  <si>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</si>
  <si>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</si>
  <si>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</si>
  <si>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</si>
  <si>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</si>
  <si>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</si>
  <si>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</si>
  <si>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</si>
  <si>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</si>
  <si>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</si>
  <si>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</si>
  <si>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</si>
  <si>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</si>
  <si>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</si>
  <si>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</si>
  <si>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</si>
  <si>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</si>
  <si>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</si>
  <si>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</si>
  <si>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</si>
  <si>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</si>
  <si>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</si>
  <si>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</si>
  <si>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</si>
  <si>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</si>
  <si>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</si>
  <si>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</si>
  <si>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</si>
  <si>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</si>
  <si>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</si>
  <si>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</si>
  <si>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</si>
  <si>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</si>
  <si>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</si>
  <si>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</si>
  <si>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</si>
  <si>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</si>
  <si>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</si>
  <si>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</si>
  <si>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</si>
  <si>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</si>
  <si>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</si>
  <si>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</si>
  <si>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</si>
  <si>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</si>
  <si>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</si>
  <si>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</si>
  <si>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</si>
  <si>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</si>
  <si>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</si>
  <si>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</si>
  <si>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</si>
  <si>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</si>
  <si>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</si>
  <si>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</si>
  <si>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</si>
  <si>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</si>
  <si>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</si>
  <si>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</si>
  <si>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</si>
  <si>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</si>
  <si>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</si>
  <si>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</si>
  <si>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</si>
  <si>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</si>
  <si>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</si>
  <si>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</si>
  <si>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</si>
  <si>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</si>
  <si>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</si>
  <si>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</si>
  <si>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</si>
  <si>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</si>
  <si>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</si>
  <si>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</si>
  <si>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</si>
  <si>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</si>
  <si>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</si>
  <si>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</si>
  <si>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</si>
  <si>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</si>
  <si>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</si>
  <si>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</si>
  <si>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</si>
  <si>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</si>
  <si>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</si>
  <si>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</si>
  <si>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</si>
  <si>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</si>
  <si>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</si>
  <si>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</si>
  <si>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</si>
  <si>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</si>
  <si>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</si>
  <si>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</si>
  <si>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</si>
  <si>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</si>
  <si>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</si>
  <si>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</si>
  <si>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</si>
  <si>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</si>
  <si>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</si>
  <si>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</si>
  <si>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</si>
  <si>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</si>
  <si>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</si>
  <si>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</si>
  <si>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</si>
  <si>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</si>
  <si>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</si>
  <si>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</si>
  <si>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</si>
  <si>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</si>
  <si>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</si>
  <si>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</si>
  <si>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</si>
  <si>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</si>
  <si>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</si>
  <si>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</si>
  <si>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</si>
  <si>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</si>
  <si>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</si>
  <si>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</si>
  <si>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</si>
  <si>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</si>
  <si>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</si>
  <si>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</si>
  <si>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</si>
  <si>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</si>
  <si>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</si>
  <si>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</si>
  <si>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</si>
  <si>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</si>
  <si>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</si>
  <si>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</si>
  <si>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</si>
  <si>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</si>
  <si>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</si>
  <si>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</si>
  <si>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</si>
  <si>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</si>
  <si>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</si>
  <si>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</si>
  <si>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</si>
  <si>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</si>
  <si>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</si>
  <si>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</si>
  <si>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</si>
  <si>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</si>
  <si>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</si>
  <si>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</si>
  <si>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</si>
  <si>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</si>
  <si>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</si>
  <si>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</si>
  <si>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</si>
  <si>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</si>
  <si>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</si>
  <si>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</si>
  <si>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</si>
  <si>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</si>
  <si>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</si>
  <si>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</si>
  <si>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</si>
  <si>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</si>
  <si>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</si>
  <si>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</si>
  <si>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</si>
  <si>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</si>
  <si>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</si>
  <si>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</si>
  <si>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</si>
  <si>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</si>
  <si>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</si>
  <si>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</si>
  <si>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</si>
  <si>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</si>
  <si>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</si>
  <si>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</si>
  <si>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</si>
  <si>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</si>
  <si>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</si>
  <si>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</si>
  <si>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</si>
  <si>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</si>
  <si>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</si>
  <si>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</si>
  <si>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</si>
  <si>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</si>
  <si>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</si>
  <si>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</si>
  <si>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</si>
  <si>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</si>
  <si>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</si>
  <si>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</si>
  <si>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</si>
  <si>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</si>
  <si>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</si>
  <si>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</si>
  <si>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</si>
  <si>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</si>
  <si>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</si>
  <si>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</si>
  <si>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</si>
  <si>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</si>
  <si>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</si>
  <si>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</si>
  <si>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</si>
  <si>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</si>
  <si>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</si>
  <si>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</si>
  <si>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</si>
  <si>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</si>
  <si>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</si>
  <si>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</si>
  <si>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</si>
  <si>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</si>
  <si>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</si>
  <si>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</si>
  <si>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</si>
  <si>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</si>
  <si>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</si>
  <si>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</si>
  <si>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</si>
  <si>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</si>
  <si>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</si>
  <si>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</si>
  <si>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</si>
  <si>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</si>
  <si>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</si>
  <si>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</si>
  <si>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</si>
  <si>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</si>
  <si>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</si>
  <si>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</si>
  <si>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</si>
  <si>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</si>
  <si>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</si>
  <si>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</si>
  <si>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</si>
  <si>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</si>
  <si>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</si>
  <si>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</si>
  <si>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</si>
  <si>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</si>
  <si>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</si>
  <si>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</si>
  <si>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</si>
  <si>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</si>
  <si>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</si>
  <si>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</si>
  <si>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</si>
  <si>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</si>
  <si>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</si>
  <si>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</si>
  <si>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</si>
  <si>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</si>
  <si>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</si>
  <si>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</si>
  <si>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</si>
  <si>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</si>
  <si>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</si>
  <si>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</si>
  <si>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</si>
  <si>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</si>
  <si>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</si>
  <si>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</si>
  <si>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</si>
  <si>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</si>
  <si>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</si>
  <si>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</si>
  <si>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</si>
  <si>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</si>
  <si>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</si>
  <si>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</si>
  <si>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</si>
  <si>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</si>
  <si>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</si>
  <si>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</si>
  <si>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</si>
  <si>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</si>
  <si>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</si>
  <si>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</si>
  <si>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</si>
  <si>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</si>
  <si>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</si>
  <si>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</si>
  <si>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</si>
  <si>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</si>
  <si>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</si>
  <si>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</si>
  <si>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</si>
  <si>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</si>
  <si>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</si>
  <si>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</si>
  <si>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</si>
  <si>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</si>
  <si>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</si>
  <si>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</si>
  <si>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</si>
  <si>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</si>
  <si>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</si>
  <si>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</si>
  <si>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</si>
  <si>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</si>
  <si>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</si>
  <si>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</si>
  <si>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</si>
  <si>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</si>
  <si>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</si>
  <si>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</si>
  <si>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</si>
  <si>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</si>
  <si>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</si>
  <si>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</si>
  <si>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</si>
  <si>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</si>
  <si>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</si>
  <si>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</si>
  <si>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</si>
  <si>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</si>
  <si>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</si>
  <si>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</si>
  <si>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</si>
  <si>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</si>
  <si>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</si>
  <si>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</si>
  <si>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</si>
  <si>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</si>
  <si>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</si>
  <si>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</si>
  <si>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</si>
  <si>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</si>
  <si>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</si>
  <si>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</si>
  <si>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</si>
  <si>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</si>
  <si>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</si>
  <si>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</si>
  <si>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</si>
  <si>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</si>
  <si>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</si>
  <si>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</si>
  <si>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</si>
  <si>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</si>
  <si>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</si>
  <si>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</si>
  <si>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</si>
  <si>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</si>
  <si>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</si>
  <si>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</si>
  <si>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</si>
  <si>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</si>
  <si>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</si>
  <si>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</si>
  <si>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</si>
  <si>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</si>
  <si>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</si>
  <si>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</si>
  <si>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</si>
  <si>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</si>
  <si>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</si>
  <si>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</si>
  <si>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</si>
  <si>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</si>
  <si>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</si>
  <si>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</si>
  <si>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</si>
  <si>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</si>
  <si>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</si>
  <si>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</si>
  <si>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</si>
  <si>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</si>
  <si>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</si>
  <si>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</si>
  <si>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</si>
  <si>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</si>
  <si>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</si>
  <si>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</si>
  <si>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</si>
  <si>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</si>
  <si>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</si>
  <si>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</si>
  <si>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</si>
  <si>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</si>
  <si>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</si>
  <si>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</si>
  <si>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</si>
  <si>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</si>
  <si>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</si>
  <si>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</si>
  <si>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</si>
  <si>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</si>
  <si>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</si>
  <si>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</si>
  <si>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</si>
  <si>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</si>
  <si>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</si>
  <si>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</si>
  <si>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</si>
  <si>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</si>
  <si>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</si>
  <si>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</si>
  <si>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</si>
  <si>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</si>
  <si>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</si>
  <si>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</si>
  <si>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</si>
  <si>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</si>
  <si>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</si>
  <si>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</si>
  <si>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</si>
  <si>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</si>
  <si>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</si>
  <si>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</si>
  <si>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</si>
  <si>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</si>
  <si>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</si>
  <si>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</si>
  <si>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</si>
  <si>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</si>
  <si>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</si>
  <si>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</si>
  <si>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</si>
  <si>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</si>
  <si>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</si>
  <si>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</si>
  <si>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</si>
  <si>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</si>
  <si>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</si>
  <si>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</si>
  <si>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</si>
  <si>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</si>
  <si>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</si>
  <si>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</si>
  <si>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</si>
  <si>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</si>
  <si>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</si>
  <si>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</si>
  <si>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</si>
  <si>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</si>
  <si>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</si>
  <si>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</si>
  <si>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</si>
  <si>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</si>
  <si>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</si>
  <si>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</si>
  <si>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</si>
  <si>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</si>
  <si>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</si>
  <si>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</si>
  <si>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</si>
  <si>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</si>
  <si>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</si>
  <si>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</si>
  <si>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</si>
  <si>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</si>
  <si>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</si>
  <si>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</si>
  <si>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</si>
  <si>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</si>
  <si>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</si>
  <si>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</si>
  <si>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</si>
  <si>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</si>
  <si>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</si>
  <si>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</si>
  <si>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</si>
  <si>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</si>
  <si>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</si>
  <si>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</si>
  <si>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</si>
  <si>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</si>
  <si>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</si>
  <si>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</si>
  <si>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</si>
  <si>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</si>
  <si>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</si>
  <si>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</si>
  <si>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</si>
  <si>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</si>
  <si>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</si>
  <si>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</si>
  <si>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</si>
  <si>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</si>
  <si>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</si>
  <si>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</si>
  <si>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</si>
  <si>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</si>
  <si>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</si>
  <si>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</si>
  <si>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</si>
  <si>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</si>
  <si>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</si>
  <si>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</si>
  <si>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</si>
  <si>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</si>
  <si>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</si>
  <si>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</si>
  <si>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</si>
  <si>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</si>
  <si>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</si>
  <si>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</si>
  <si>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</si>
  <si>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</si>
  <si>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</si>
  <si>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</si>
  <si>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</si>
  <si>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</si>
  <si>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</si>
  <si>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</si>
  <si>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</si>
  <si>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</si>
  <si>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</si>
  <si>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</si>
  <si>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</si>
  <si>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</si>
  <si>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</si>
  <si>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</si>
  <si>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</si>
  <si>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</si>
  <si>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</si>
  <si>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</si>
  <si>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</si>
  <si>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</si>
  <si>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</si>
  <si>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</si>
  <si>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</si>
  <si>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</si>
  <si>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</si>
  <si>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</si>
  <si>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</si>
  <si>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</si>
  <si>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</si>
  <si>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</si>
  <si>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</si>
  <si>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</si>
  <si>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</si>
  <si>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</si>
  <si>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</si>
  <si>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</si>
  <si>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</si>
  <si>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</si>
  <si>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</si>
  <si>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</si>
  <si>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</si>
  <si>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</si>
  <si>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</si>
  <si>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</si>
  <si>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</si>
  <si>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</si>
  <si>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</si>
  <si>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</si>
  <si>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</si>
  <si>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</si>
  <si>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</si>
  <si>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</si>
  <si>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</si>
  <si>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</si>
  <si>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</si>
  <si>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</si>
  <si>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</si>
  <si>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</si>
  <si>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</si>
  <si>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</si>
  <si>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</si>
  <si>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</si>
  <si>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</si>
  <si>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</si>
  <si>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</si>
  <si>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</si>
  <si>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</si>
  <si>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</si>
  <si>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</si>
  <si>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</si>
  <si>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</si>
  <si>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</si>
  <si>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</si>
  <si>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</si>
  <si>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</si>
  <si>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</si>
  <si>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</si>
  <si>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</si>
  <si>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</si>
  <si>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</si>
  <si>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</si>
  <si>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</si>
  <si>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</si>
  <si>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</si>
  <si>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</si>
  <si>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</si>
  <si>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</si>
  <si>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</si>
  <si>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</si>
  <si>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</si>
  <si>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</si>
  <si>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</si>
  <si>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</si>
  <si>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</si>
  <si>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</si>
  <si>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</si>
  <si>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</si>
  <si>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</si>
  <si>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</si>
  <si>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</si>
  <si>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</si>
  <si>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</si>
  <si>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</si>
  <si>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</si>
  <si>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</si>
  <si>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</si>
  <si>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</si>
  <si>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</si>
  <si>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</si>
  <si>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</si>
  <si>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</si>
  <si>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</si>
  <si>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</si>
  <si>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</si>
  <si>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</si>
  <si>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</si>
  <si>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</si>
  <si>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</si>
  <si>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</si>
  <si>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</si>
  <si>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</si>
  <si>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</si>
  <si>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</si>
  <si>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</si>
  <si>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</si>
  <si>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</si>
  <si>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</si>
  <si>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</si>
  <si>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</si>
  <si>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</si>
  <si>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</si>
  <si>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</si>
  <si>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</si>
  <si>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</si>
  <si>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</si>
  <si>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</si>
  <si>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</si>
  <si>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</si>
  <si>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</si>
  <si>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</si>
  <si>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</si>
  <si>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</si>
  <si>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</si>
  <si>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</si>
  <si>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</si>
  <si>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</si>
  <si>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</si>
  <si>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</si>
  <si>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</si>
  <si>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</si>
  <si>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</si>
  <si>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</si>
  <si>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</si>
  <si>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</si>
  <si>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</si>
  <si>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</si>
  <si>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</si>
  <si>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</si>
  <si>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</si>
  <si>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</si>
  <si>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</si>
  <si>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</si>
  <si>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</si>
  <si>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</si>
  <si>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</si>
  <si>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</si>
  <si>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</si>
  <si>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</si>
  <si>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</si>
  <si>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</si>
  <si>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</si>
  <si>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</si>
  <si>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</si>
  <si>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</si>
  <si>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</si>
  <si>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</si>
  <si>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</si>
  <si>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</si>
  <si>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</si>
  <si>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</si>
  <si>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</si>
  <si>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</si>
  <si>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</si>
  <si>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</si>
  <si>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</si>
  <si>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</si>
  <si>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</si>
  <si>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</si>
  <si>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</si>
  <si>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</si>
  <si>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</si>
  <si>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</si>
  <si>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</si>
  <si>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</si>
  <si>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</si>
  <si>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</si>
  <si>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</si>
  <si>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</si>
  <si>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</si>
  <si>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</si>
  <si>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</si>
  <si>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</si>
  <si>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</si>
  <si>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</si>
  <si>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</si>
  <si>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</si>
  <si>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</si>
  <si>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</si>
  <si>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</si>
  <si>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</si>
  <si>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</si>
  <si>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</si>
  <si>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</si>
  <si>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</si>
  <si>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</si>
  <si>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</si>
  <si>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</si>
  <si>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</si>
  <si>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</si>
  <si>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</si>
  <si>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</si>
  <si>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</si>
  <si>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</si>
  <si>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</si>
  <si>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</si>
  <si>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</si>
  <si>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</si>
  <si>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</si>
  <si>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</si>
  <si>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</si>
  <si>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</si>
  <si>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</si>
  <si>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</si>
  <si>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</si>
  <si>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</si>
  <si>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</si>
  <si>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</si>
  <si>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</si>
  <si>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</si>
  <si>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</si>
  <si>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</si>
  <si>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</si>
  <si>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</si>
  <si>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</si>
  <si>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</si>
  <si>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</si>
  <si>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</si>
  <si>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</si>
  <si>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</si>
  <si>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</si>
  <si>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</si>
  <si>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</si>
  <si>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</si>
  <si>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</si>
  <si>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</si>
  <si>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</si>
  <si>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</si>
  <si>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</si>
  <si>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</si>
  <si>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</si>
  <si>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</si>
  <si>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</si>
  <si>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</si>
  <si>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</si>
  <si>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</si>
  <si>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</si>
  <si>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</si>
  <si>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</si>
  <si>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</si>
  <si>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</si>
  <si>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</si>
  <si>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</si>
  <si>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</si>
  <si>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</si>
  <si>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</si>
  <si>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</si>
  <si>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</si>
  <si>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</si>
  <si>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</si>
  <si>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</si>
  <si>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</si>
  <si>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</si>
  <si>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</si>
  <si>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</si>
  <si>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</si>
  <si>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</si>
  <si>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</si>
  <si>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</si>
  <si>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</si>
  <si>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</si>
  <si>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</si>
  <si>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</si>
  <si>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</si>
  <si>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</si>
  <si>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</si>
  <si>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</si>
  <si>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</si>
  <si>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</si>
  <si>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</si>
  <si>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</si>
  <si>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</si>
  <si>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</si>
  <si>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</si>
  <si>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</si>
  <si>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</si>
  <si>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</si>
  <si>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</si>
  <si>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</si>
  <si>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</si>
  <si>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</si>
  <si>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</si>
  <si>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</si>
  <si>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</si>
  <si>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</si>
  <si>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</si>
  <si>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</si>
  <si>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</si>
  <si>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</si>
  <si>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</si>
  <si>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</si>
  <si>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</si>
  <si>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</si>
  <si>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</si>
  <si>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</si>
  <si>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</si>
  <si>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</si>
  <si>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</si>
  <si>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</si>
  <si>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</si>
  <si>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</si>
  <si>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</si>
  <si>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</si>
  <si>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</si>
  <si>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</si>
  <si>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</si>
  <si>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</si>
  <si>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</si>
  <si>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</si>
  <si>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</si>
  <si>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</si>
  <si>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</si>
  <si>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</si>
  <si>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</si>
  <si>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</si>
  <si>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</si>
  <si>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</si>
  <si>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</si>
  <si>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</si>
  <si>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</si>
  <si>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</si>
  <si>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</si>
  <si>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</si>
  <si>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</si>
  <si>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</si>
  <si>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</si>
  <si>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</si>
  <si>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</si>
  <si>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</si>
  <si>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</si>
  <si>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</si>
  <si>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</si>
  <si>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</si>
  <si>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</si>
  <si>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</si>
  <si>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</si>
  <si>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</si>
  <si>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</si>
  <si>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</si>
  <si>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</si>
  <si>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</si>
  <si>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</si>
  <si>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</si>
  <si>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</si>
  <si>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</si>
  <si>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</si>
  <si>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</si>
  <si>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</si>
  <si>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</si>
  <si>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</si>
  <si>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</si>
  <si>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</si>
  <si>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</si>
  <si>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</si>
  <si>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</si>
  <si>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</si>
  <si>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</si>
  <si>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</si>
  <si>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</si>
  <si>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</si>
  <si>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</si>
  <si>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</si>
  <si>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</si>
  <si>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</si>
  <si>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</si>
  <si>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</si>
  <si>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</si>
  <si>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</si>
  <si>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</si>
  <si>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</si>
  <si>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</si>
  <si>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</si>
  <si>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</si>
  <si>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</si>
  <si>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</si>
  <si>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</si>
  <si>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</si>
  <si>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</si>
  <si>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</si>
  <si>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</si>
  <si>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</si>
  <si>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</si>
  <si>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</si>
  <si>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</si>
  <si>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</si>
  <si>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</si>
  <si>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</si>
  <si>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</si>
  <si>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</si>
  <si>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</si>
  <si>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</si>
  <si>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</si>
  <si>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</si>
  <si>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</si>
  <si>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</si>
  <si>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</si>
  <si>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</si>
  <si>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</si>
  <si>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</si>
  <si>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</si>
  <si>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</si>
  <si>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</si>
  <si>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</si>
  <si>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</si>
  <si>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</si>
  <si>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</si>
  <si>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</si>
  <si>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</si>
  <si>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</si>
  <si>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</si>
  <si>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</si>
  <si>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</si>
  <si>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</si>
  <si>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</si>
  <si>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</si>
  <si>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</si>
  <si>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</si>
  <si>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</si>
  <si>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</si>
  <si>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</si>
  <si>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</si>
  <si>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</si>
  <si>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</si>
  <si>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</si>
  <si>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</si>
  <si>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</si>
  <si>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</si>
  <si>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</si>
  <si>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</si>
  <si>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</si>
  <si>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</si>
  <si>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</si>
  <si>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</si>
  <si>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</si>
  <si>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</si>
  <si>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</si>
  <si>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</si>
  <si>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</si>
  <si>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</si>
  <si>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</si>
  <si>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</si>
  <si>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</si>
  <si>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</si>
  <si>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</si>
  <si>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</si>
  <si>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</si>
  <si>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</si>
  <si>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</si>
  <si>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</si>
  <si>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</si>
  <si>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</si>
  <si>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</si>
  <si>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</si>
  <si>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</si>
  <si>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</si>
  <si>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</si>
  <si>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</si>
  <si>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</si>
  <si>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</si>
  <si>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</si>
  <si>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</si>
  <si>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</si>
  <si>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</si>
  <si>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</si>
  <si>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</si>
  <si>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</si>
  <si>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</si>
  <si>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</si>
  <si>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</si>
  <si>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</si>
  <si>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</si>
  <si>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</si>
  <si>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</si>
  <si>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</si>
  <si>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</si>
  <si>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</si>
  <si>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</si>
  <si>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</si>
  <si>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</si>
  <si>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</si>
  <si>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</si>
  <si>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</si>
  <si>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</si>
  <si>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</si>
  <si>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</si>
  <si>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</si>
  <si>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</si>
  <si>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</si>
  <si>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</si>
  <si>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</si>
  <si>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</si>
  <si>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</si>
  <si>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</si>
  <si>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</si>
  <si>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</si>
  <si>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</si>
  <si>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</si>
  <si>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</si>
  <si>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</si>
  <si>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</si>
  <si>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</si>
  <si>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</si>
  <si>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</si>
  <si>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</si>
  <si>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</si>
  <si>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</si>
  <si>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</si>
  <si>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</si>
  <si>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</si>
  <si>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</si>
  <si>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</si>
  <si>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</si>
  <si>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</si>
  <si>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</si>
  <si>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</si>
  <si>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</si>
  <si>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</si>
  <si>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</si>
  <si>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</si>
  <si>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</si>
  <si>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</si>
  <si>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</si>
  <si>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</si>
  <si>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</si>
  <si>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</si>
  <si>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</si>
  <si>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</si>
  <si>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</si>
  <si>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</si>
  <si>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</si>
  <si>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</si>
  <si>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</si>
  <si>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</si>
  <si>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</si>
  <si>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</si>
  <si>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</si>
  <si>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</si>
  <si>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</si>
  <si>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</si>
  <si>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</si>
  <si>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</si>
  <si>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</si>
  <si>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</si>
  <si>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</si>
  <si>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</si>
  <si>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</si>
  <si>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</si>
  <si>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</si>
  <si>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</si>
  <si>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</si>
  <si>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</si>
  <si>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</si>
  <si>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</si>
  <si>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</si>
  <si>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</si>
  <si>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</si>
  <si>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</si>
  <si>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</si>
  <si>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</si>
  <si>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</si>
  <si>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</si>
  <si>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</si>
  <si>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</si>
  <si>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</si>
  <si>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</si>
  <si>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</si>
  <si>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</si>
  <si>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</si>
  <si>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</si>
  <si>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</si>
  <si>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</si>
  <si>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</si>
  <si>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</si>
  <si>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</si>
  <si>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</si>
  <si>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</si>
  <si>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</si>
  <si>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</si>
  <si>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</si>
  <si>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</si>
  <si>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</si>
  <si>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</si>
  <si>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</si>
  <si>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</si>
  <si>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</si>
  <si>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</si>
  <si>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</si>
  <si>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</si>
  <si>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</si>
  <si>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</si>
  <si>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</si>
  <si>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</si>
  <si>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</si>
  <si>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</si>
  <si>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</si>
  <si>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</si>
  <si>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</si>
  <si>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</si>
  <si>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</si>
  <si>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</si>
  <si>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</si>
  <si>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</si>
  <si>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</si>
  <si>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</si>
  <si>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</si>
  <si>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</si>
  <si>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</si>
  <si>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</si>
  <si>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</si>
  <si>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</si>
  <si>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</si>
  <si>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</si>
  <si>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</si>
  <si>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</si>
  <si>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</si>
  <si>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</si>
  <si>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</si>
  <si>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</si>
  <si>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</si>
  <si>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</si>
  <si>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</si>
  <si>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</si>
  <si>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</si>
  <si>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</si>
  <si>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</si>
  <si>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</si>
  <si>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</si>
  <si>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</si>
  <si>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</si>
  <si>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</si>
  <si>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</si>
  <si>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</si>
  <si>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</si>
  <si>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</si>
  <si>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</si>
  <si>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</si>
  <si>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</si>
  <si>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</si>
  <si>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</si>
  <si>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</si>
  <si>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</si>
  <si>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</si>
  <si>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</si>
  <si>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</si>
  <si>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</si>
  <si>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</si>
  <si>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</si>
  <si>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</si>
  <si>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</si>
  <si>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</si>
  <si>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</si>
  <si>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</si>
  <si>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</si>
  <si>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</si>
  <si>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</si>
  <si>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</si>
  <si>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</si>
  <si>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</si>
  <si>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</si>
  <si>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</si>
  <si>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</si>
  <si>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</si>
  <si>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</si>
  <si>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</si>
  <si>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</si>
  <si>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</si>
  <si>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</si>
  <si>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</si>
  <si>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</si>
  <si>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</si>
  <si>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</si>
  <si>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</si>
  <si>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</si>
  <si>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</si>
  <si>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</si>
  <si>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</si>
  <si>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</si>
  <si>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</si>
  <si>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</si>
  <si>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</si>
  <si>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</si>
  <si>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</si>
  <si>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</si>
  <si>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</si>
  <si>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</si>
  <si>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</si>
  <si>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</si>
  <si>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</si>
  <si>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</si>
  <si>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</si>
  <si>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</si>
  <si>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</si>
  <si>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</si>
  <si>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</si>
  <si>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</si>
  <si>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</si>
  <si>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</si>
  <si>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</si>
  <si>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</si>
  <si>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</si>
  <si>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</si>
  <si>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</si>
  <si>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</si>
  <si>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</si>
  <si>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</si>
  <si>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</si>
  <si>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</si>
  <si>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</si>
  <si>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</si>
  <si>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</si>
  <si>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</si>
  <si>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</si>
  <si>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</si>
  <si>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</si>
  <si>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</si>
  <si>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</si>
  <si>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</si>
  <si>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</si>
  <si>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</si>
  <si>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</si>
  <si>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</si>
  <si>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</si>
  <si>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</si>
  <si>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</si>
  <si>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</si>
  <si>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</si>
  <si>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</si>
  <si>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</si>
  <si>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</si>
  <si>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</si>
  <si>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</si>
  <si>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</si>
  <si>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</si>
  <si>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</si>
  <si>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</si>
  <si>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</si>
  <si>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</si>
  <si>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</si>
  <si>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</si>
  <si>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</si>
  <si>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</si>
  <si>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</si>
  <si>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</si>
  <si>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</si>
  <si>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</si>
  <si>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</si>
  <si>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</si>
  <si>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</si>
  <si>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</si>
  <si>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</si>
  <si>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</si>
  <si>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</si>
  <si>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</si>
  <si>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</si>
  <si>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</si>
  <si>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</si>
  <si>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</si>
  <si>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</si>
  <si>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</si>
  <si>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</si>
  <si>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</si>
  <si>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</si>
  <si>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</si>
  <si>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</si>
  <si>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</si>
  <si>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</si>
  <si>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</si>
  <si>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</si>
  <si>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</si>
  <si>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</si>
  <si>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</si>
  <si>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</si>
  <si>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</si>
  <si>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</si>
  <si>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</si>
  <si>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</si>
  <si>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</si>
  <si>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</si>
  <si>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</si>
  <si>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</si>
  <si>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</si>
  <si>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</si>
  <si>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</si>
  <si>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</si>
  <si>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</si>
  <si>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</si>
  <si>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</si>
  <si>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</si>
  <si>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</si>
  <si>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</si>
  <si>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</si>
  <si>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</si>
  <si>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</si>
  <si>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</si>
  <si>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</si>
  <si>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</si>
  <si>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</si>
  <si>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</si>
  <si>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</si>
  <si>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</si>
  <si>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</si>
  <si>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</si>
  <si>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</si>
  <si>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</si>
  <si>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</si>
  <si>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</si>
  <si>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</si>
  <si>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</si>
  <si>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</si>
  <si>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</si>
  <si>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</si>
  <si>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</si>
  <si>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</si>
  <si>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</si>
  <si>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</si>
  <si>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</si>
  <si>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</si>
  <si>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</si>
  <si>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</si>
  <si>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</si>
  <si>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</si>
  <si>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</si>
  <si>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</si>
  <si>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</si>
  <si>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</si>
  <si>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</si>
  <si>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</si>
  <si>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</si>
  <si>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</si>
  <si>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</si>
  <si>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</si>
  <si>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</si>
  <si>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</si>
  <si>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</si>
  <si>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</si>
  <si>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</si>
  <si>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</si>
  <si>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</si>
  <si>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</si>
  <si>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</si>
  <si>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</si>
  <si>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</si>
  <si>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</si>
  <si>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</si>
  <si>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</si>
  <si>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</si>
  <si>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</si>
  <si>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</si>
  <si>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</si>
  <si>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</si>
  <si>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</si>
  <si>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</si>
  <si>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</si>
  <si>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</si>
  <si>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</si>
  <si>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</si>
  <si>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</si>
  <si>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</si>
  <si>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</si>
  <si>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</si>
  <si>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</si>
  <si>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</si>
  <si>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</si>
  <si>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</si>
  <si>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</si>
  <si>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</si>
  <si>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</si>
  <si>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</si>
  <si>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</si>
  <si>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</si>
  <si>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</si>
  <si>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</si>
  <si>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</si>
  <si>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</si>
  <si>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</si>
  <si>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</si>
  <si>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</si>
  <si>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</si>
  <si>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</si>
  <si>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</si>
  <si>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</si>
  <si>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</si>
  <si>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</si>
  <si>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</si>
  <si>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</si>
  <si>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</si>
  <si>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</si>
  <si>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</si>
  <si>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</si>
  <si>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</si>
  <si>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</si>
  <si>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</si>
  <si>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</si>
  <si>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</si>
  <si>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</si>
  <si>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</si>
  <si>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</si>
  <si>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</si>
  <si>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</si>
  <si>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</si>
  <si>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</si>
  <si>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</si>
  <si>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</si>
  <si>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</si>
  <si>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</si>
  <si>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</si>
  <si>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</si>
  <si>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</si>
  <si>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</si>
  <si>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</si>
  <si>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</si>
  <si>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</si>
  <si>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</si>
  <si>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</si>
  <si>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</si>
  <si>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</si>
  <si>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</si>
  <si>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</si>
  <si>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</si>
  <si>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</si>
  <si>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</si>
  <si>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</si>
  <si>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</si>
  <si>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</si>
  <si>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</si>
  <si>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</si>
  <si>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</si>
  <si>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</si>
  <si>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</si>
  <si>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</si>
  <si>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</si>
  <si>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</si>
  <si>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</si>
  <si>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</si>
  <si>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</si>
  <si>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</si>
  <si>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</si>
  <si>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</si>
  <si>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</si>
  <si>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</si>
  <si>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</si>
  <si>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</si>
  <si>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</si>
  <si>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</si>
  <si>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</si>
  <si>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</si>
  <si>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</si>
  <si>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</si>
  <si>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</si>
  <si>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</si>
  <si>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</si>
  <si>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</si>
  <si>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</si>
  <si>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</si>
  <si>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</si>
  <si>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</si>
  <si>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</si>
  <si>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</si>
  <si>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</si>
  <si>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</si>
  <si>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</si>
  <si>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</si>
  <si>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</si>
  <si>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</si>
  <si>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</si>
  <si>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</si>
  <si>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</si>
  <si>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</si>
  <si>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</si>
  <si>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</si>
  <si>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</si>
  <si>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</si>
  <si>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</si>
  <si>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</si>
  <si>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</si>
  <si>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</si>
  <si>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</si>
  <si>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</si>
  <si>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</si>
  <si>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</si>
  <si>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</si>
  <si>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</si>
  <si>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</si>
  <si>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</si>
  <si>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</si>
  <si>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</si>
  <si>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</si>
  <si>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</si>
  <si>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</si>
  <si>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</si>
  <si>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</si>
  <si>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</si>
  <si>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</si>
  <si>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</si>
  <si>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</si>
  <si>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</si>
  <si>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</si>
  <si>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</si>
  <si>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</si>
  <si>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</si>
  <si>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</si>
  <si>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</si>
  <si>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</si>
  <si>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</si>
  <si>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</si>
  <si>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</si>
  <si>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</si>
  <si>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</si>
  <si>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</si>
  <si>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</si>
  <si>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</si>
  <si>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</si>
  <si>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</si>
  <si>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</si>
  <si>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</si>
  <si>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</si>
  <si>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</si>
  <si>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</si>
  <si>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</si>
  <si>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</si>
  <si>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</si>
  <si>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</si>
  <si>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</si>
  <si>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</si>
  <si>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</si>
  <si>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</si>
  <si>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</si>
  <si>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</si>
  <si>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</si>
  <si>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</si>
  <si>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</si>
  <si>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</si>
  <si>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</si>
  <si>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</si>
  <si>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</si>
  <si>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</si>
  <si>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</si>
  <si>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</si>
  <si>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</si>
  <si>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</si>
  <si>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</si>
  <si>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</si>
  <si>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</si>
  <si>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</si>
  <si>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</si>
  <si>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</si>
  <si>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</si>
  <si>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</si>
  <si>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</si>
  <si>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</si>
  <si>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</si>
  <si>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</si>
  <si>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</si>
  <si>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</si>
  <si>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</si>
  <si>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</si>
  <si>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</si>
  <si>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</si>
  <si>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</si>
  <si>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</si>
  <si>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</si>
  <si>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</si>
  <si>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</si>
  <si>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</si>
  <si>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</si>
  <si>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</si>
  <si>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</si>
  <si>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</si>
  <si>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</si>
  <si>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</si>
  <si>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</si>
  <si>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</si>
  <si>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</si>
  <si>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</si>
  <si>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</si>
  <si>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</si>
  <si>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</si>
  <si>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</si>
  <si>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</si>
  <si>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</si>
  <si>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</si>
  <si>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</si>
  <si>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</si>
  <si>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</si>
  <si>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</si>
  <si>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</si>
  <si>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</si>
  <si>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</si>
  <si>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</si>
  <si>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</si>
  <si>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</si>
  <si>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</si>
  <si>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</si>
  <si>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</si>
  <si>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</si>
  <si>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</si>
  <si>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</si>
  <si>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</si>
  <si>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</si>
  <si>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</si>
  <si>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</si>
  <si>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</si>
  <si>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</si>
  <si>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</si>
  <si>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</si>
  <si>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</si>
  <si>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</si>
  <si>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</si>
  <si>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</si>
  <si>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</si>
  <si>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</si>
  <si>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</si>
  <si>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</si>
  <si>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</si>
  <si>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</si>
  <si>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</si>
  <si>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</si>
  <si>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</si>
  <si>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</si>
  <si>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</si>
  <si>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</si>
  <si>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</si>
  <si>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</si>
  <si>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</si>
  <si>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</si>
  <si>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</si>
  <si>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</si>
  <si>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</si>
  <si>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</si>
  <si>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</si>
  <si>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</si>
  <si>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</si>
  <si>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</si>
  <si>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</si>
  <si>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</si>
  <si>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</si>
  <si>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</si>
  <si>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</si>
  <si>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</si>
  <si>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</si>
  <si>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</si>
  <si>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</si>
  <si>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</si>
  <si>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</si>
  <si>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</si>
  <si>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</si>
  <si>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</si>
  <si>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</si>
  <si>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</si>
  <si>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</si>
  <si>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</si>
  <si>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</si>
  <si>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</si>
  <si>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</si>
  <si>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</si>
  <si>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</si>
  <si>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</si>
  <si>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</si>
  <si>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</si>
  <si>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</si>
  <si>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</si>
  <si>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</si>
  <si>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</si>
  <si>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</si>
  <si>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</si>
  <si>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</si>
  <si>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</si>
  <si>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</si>
  <si>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</si>
  <si>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</si>
  <si>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</si>
  <si>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</si>
  <si>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</si>
  <si>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</si>
  <si>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</si>
  <si>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</si>
  <si>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</si>
  <si>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</si>
  <si>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</si>
  <si>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</si>
  <si>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</si>
  <si>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</si>
  <si>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</si>
  <si>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</si>
  <si>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</si>
  <si>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</si>
  <si>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</si>
  <si>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</si>
  <si>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</si>
  <si>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</si>
  <si>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</si>
  <si>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</si>
  <si>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</si>
  <si>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</si>
  <si>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</si>
  <si>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</si>
  <si>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</si>
  <si>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</si>
  <si>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</si>
  <si>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</si>
  <si>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</si>
  <si>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</si>
  <si>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</si>
  <si>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</si>
  <si>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</si>
  <si>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</si>
  <si>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</si>
  <si>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</si>
  <si>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</si>
  <si>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</si>
  <si>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</si>
  <si>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</si>
  <si>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</si>
  <si>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</si>
  <si>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</si>
  <si>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</si>
  <si>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</si>
  <si>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</si>
  <si>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</si>
  <si>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</si>
  <si>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</si>
  <si>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</si>
  <si>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</si>
  <si>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</si>
  <si>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</si>
  <si>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</si>
  <si>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</si>
  <si>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</si>
  <si>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</si>
  <si>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</si>
  <si>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</si>
  <si>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</si>
  <si>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</si>
  <si>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</si>
  <si>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</si>
  <si>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</si>
  <si>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</si>
  <si>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</si>
  <si>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</si>
  <si>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</si>
  <si>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</si>
  <si>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</si>
  <si>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</si>
  <si>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</si>
  <si>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</si>
  <si>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</si>
  <si>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</si>
  <si>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</si>
  <si>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</si>
  <si>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</si>
  <si>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</si>
  <si>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</si>
  <si>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</si>
  <si>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</si>
  <si>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</si>
  <si>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</si>
  <si>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</si>
  <si>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</si>
  <si>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</si>
  <si>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</si>
  <si>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</si>
  <si>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</si>
  <si>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</si>
  <si>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</si>
  <si>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</si>
  <si>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</si>
  <si>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</si>
  <si>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</si>
  <si>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</si>
  <si>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</si>
  <si>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</si>
  <si>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</si>
  <si>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</si>
  <si>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</si>
  <si>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</si>
  <si>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</si>
  <si>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</si>
  <si>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</si>
  <si>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</si>
  <si>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</si>
  <si>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</si>
  <si>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</si>
  <si>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</si>
  <si>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</si>
  <si>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</si>
  <si>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</si>
  <si>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</si>
  <si>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</si>
  <si>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</si>
  <si>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</si>
  <si>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</si>
  <si>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</si>
  <si>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</si>
  <si>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</si>
  <si>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</si>
  <si>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</si>
  <si>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</si>
  <si>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</si>
  <si>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</si>
  <si>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</si>
  <si>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</si>
  <si>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</si>
  <si>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</si>
  <si>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</si>
  <si>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</si>
  <si>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</si>
  <si>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</si>
  <si>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</si>
  <si>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</si>
  <si>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</si>
  <si>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</si>
  <si>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</si>
  <si>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</si>
  <si>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</si>
  <si>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</si>
  <si>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</si>
  <si>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</si>
  <si>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</si>
  <si>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</si>
  <si>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</si>
  <si>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</si>
  <si>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</si>
  <si>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</si>
  <si>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</si>
  <si>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</si>
  <si>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</si>
  <si>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</si>
  <si>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</si>
  <si>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</si>
  <si>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</si>
  <si>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</si>
  <si>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</si>
  <si>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</si>
  <si>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</si>
  <si>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</si>
  <si>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</si>
  <si>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</si>
  <si>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</si>
  <si>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</si>
  <si>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</si>
  <si>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</si>
  <si>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</si>
  <si>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</si>
  <si>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</si>
  <si>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</si>
  <si>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</si>
  <si>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</si>
  <si>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</si>
  <si>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</si>
  <si>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</si>
  <si>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</si>
  <si>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</si>
  <si>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</si>
  <si>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</si>
  <si>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</si>
  <si>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</si>
  <si>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</si>
  <si>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</si>
  <si>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</si>
  <si>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</si>
  <si>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</si>
  <si>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</si>
  <si>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</si>
  <si>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</si>
  <si>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</si>
  <si>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</si>
  <si>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</si>
  <si>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</si>
  <si>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</si>
  <si>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</si>
  <si>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</si>
  <si>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</si>
  <si>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</si>
  <si>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</si>
  <si>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</si>
  <si>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</si>
  <si>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</si>
  <si>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</si>
  <si>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</si>
  <si>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</si>
  <si>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</si>
  <si>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</si>
  <si>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</si>
  <si>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</si>
  <si>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</si>
  <si>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</si>
  <si>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</si>
  <si>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</si>
  <si>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</si>
  <si>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</si>
  <si>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</si>
  <si>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</si>
  <si>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</si>
  <si>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</si>
  <si>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</si>
  <si>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</si>
  <si>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</si>
  <si>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</si>
  <si>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</si>
  <si>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</si>
  <si>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</si>
  <si>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</si>
  <si>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</si>
  <si>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</si>
  <si>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</si>
  <si>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</si>
  <si>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</si>
  <si>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</si>
  <si>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</si>
  <si>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</si>
  <si>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</si>
  <si>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</si>
  <si>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</si>
  <si>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</si>
  <si>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</si>
  <si>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</si>
  <si>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</si>
  <si>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</si>
  <si>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</si>
  <si>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</si>
  <si>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</si>
  <si>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</si>
  <si>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</si>
  <si>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</si>
  <si>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</si>
  <si>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</si>
  <si>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</si>
  <si>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</si>
  <si>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</si>
  <si>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</si>
  <si>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</si>
  <si>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</si>
  <si>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</si>
  <si>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</si>
  <si>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</si>
  <si>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</si>
  <si>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</si>
  <si>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</si>
  <si>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</si>
  <si>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</si>
  <si>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</si>
  <si>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</si>
  <si>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</si>
  <si>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</si>
  <si>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</si>
  <si>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</si>
  <si>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</si>
  <si>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</si>
  <si>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</si>
  <si>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</si>
  <si>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</si>
  <si>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</si>
  <si>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</si>
  <si>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</si>
  <si>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</si>
  <si>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</si>
  <si>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</si>
  <si>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</si>
  <si>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</si>
  <si>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</si>
  <si>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</si>
  <si>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</si>
  <si>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</si>
  <si>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</si>
  <si>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</si>
  <si>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</si>
  <si>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</si>
  <si>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</si>
  <si>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</si>
  <si>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</si>
  <si>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</si>
  <si>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</si>
  <si>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</si>
  <si>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</si>
  <si>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</si>
  <si>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</si>
  <si>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</si>
  <si>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</si>
  <si>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</si>
  <si>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</si>
  <si>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</si>
  <si>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</si>
  <si>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</si>
  <si>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</si>
  <si>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</si>
  <si>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</si>
  <si>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</si>
  <si>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</si>
  <si>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</si>
  <si>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</si>
  <si>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</si>
  <si>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</si>
  <si>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</si>
  <si>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</si>
  <si>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</si>
  <si>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</si>
  <si>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</si>
  <si>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</si>
  <si>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</si>
  <si>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</si>
  <si>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</si>
  <si>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</si>
  <si>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</si>
  <si>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</si>
  <si>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</si>
  <si>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</si>
  <si>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</si>
  <si>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</si>
  <si>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</si>
  <si>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</si>
  <si>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</si>
  <si>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</si>
  <si>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</si>
  <si>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</si>
  <si>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</si>
  <si>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</si>
  <si>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</si>
  <si>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</si>
  <si>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</si>
  <si>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</si>
  <si>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</si>
  <si>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</si>
  <si>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</si>
  <si>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</si>
  <si>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</si>
  <si>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</si>
  <si>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</si>
  <si>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</si>
  <si>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</si>
  <si>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</si>
  <si>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</si>
  <si>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</si>
  <si>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</si>
  <si>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</si>
  <si>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</si>
  <si>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</si>
  <si>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</si>
  <si>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</si>
  <si>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</si>
  <si>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</si>
  <si>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</si>
  <si>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</si>
  <si>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</si>
  <si>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</si>
  <si>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</si>
  <si>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</si>
  <si>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</si>
  <si>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</si>
  <si>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</si>
  <si>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</si>
  <si>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</si>
  <si>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</si>
  <si>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</si>
  <si>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</si>
  <si>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</si>
  <si>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</si>
  <si>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</si>
  <si>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</si>
  <si>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</si>
  <si>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</si>
  <si>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</si>
  <si>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</si>
  <si>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</si>
  <si>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</si>
  <si>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</si>
  <si>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</si>
  <si>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</si>
  <si>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</si>
  <si>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</si>
  <si>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</si>
  <si>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</si>
  <si>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</si>
  <si>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</si>
  <si>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</si>
  <si>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</si>
  <si>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</si>
  <si>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</si>
  <si>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</si>
  <si>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</si>
  <si>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</si>
  <si>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</si>
  <si>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</si>
  <si>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</si>
  <si>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</si>
  <si>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</si>
  <si>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</si>
  <si>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</si>
  <si>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</si>
  <si>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</si>
  <si>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</si>
  <si>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</si>
  <si>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</si>
  <si>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</si>
  <si>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</si>
  <si>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</si>
  <si>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</si>
  <si>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</si>
  <si>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</si>
  <si>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</si>
  <si>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</si>
  <si>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</si>
  <si>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</si>
  <si>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</si>
  <si>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</si>
  <si>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</si>
  <si>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</si>
  <si>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</si>
  <si>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</si>
  <si>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</si>
  <si>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</si>
  <si>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</si>
  <si>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</si>
  <si>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</si>
  <si>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</si>
  <si>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</si>
  <si>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</si>
  <si>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</si>
  <si>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</si>
  <si>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</si>
  <si>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</si>
  <si>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</si>
  <si>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</si>
  <si>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</si>
  <si>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</si>
  <si>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</si>
  <si>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</si>
  <si>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</si>
  <si>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</si>
  <si>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</si>
  <si>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</si>
  <si>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</si>
  <si>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</si>
  <si>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</si>
  <si>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</si>
  <si>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</si>
  <si>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</si>
  <si>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</si>
  <si>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</si>
  <si>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</si>
  <si>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</si>
  <si>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</si>
  <si>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</si>
  <si>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</si>
  <si>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</si>
  <si>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</si>
  <si>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</si>
  <si>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</si>
  <si>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</si>
  <si>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</si>
  <si>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</si>
  <si>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</si>
  <si>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</si>
  <si>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</si>
  <si>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</si>
  <si>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</si>
  <si>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</si>
  <si>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</si>
  <si>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</si>
  <si>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</si>
  <si>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</si>
  <si>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</si>
  <si>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</si>
  <si>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</si>
  <si>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</si>
  <si>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</si>
  <si>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</si>
  <si>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</si>
  <si>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</si>
  <si>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</si>
  <si>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</si>
  <si>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</si>
  <si>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</si>
  <si>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</si>
  <si>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</si>
  <si>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</si>
  <si>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</si>
  <si>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</si>
  <si>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</si>
  <si>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</si>
  <si>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</si>
  <si>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</si>
  <si>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</si>
  <si>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</si>
  <si>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</si>
  <si>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</si>
  <si>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</si>
  <si>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</si>
  <si>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</si>
  <si>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</si>
  <si>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</si>
  <si>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</si>
  <si>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</si>
  <si>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</si>
  <si>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</si>
  <si>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</si>
  <si>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</si>
  <si>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</si>
  <si>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</si>
  <si>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</si>
  <si>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</si>
  <si>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</si>
  <si>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</si>
  <si>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</si>
  <si>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</si>
  <si>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</si>
  <si>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</si>
  <si>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</si>
  <si>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</si>
  <si>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</si>
  <si>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</si>
  <si>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</si>
  <si>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</si>
  <si>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</si>
  <si>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</si>
  <si>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</si>
  <si>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</si>
  <si>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</si>
  <si>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</si>
  <si>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</si>
  <si>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</si>
  <si>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</si>
  <si>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</si>
  <si>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</si>
  <si>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</si>
  <si>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</si>
  <si>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</si>
  <si>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</si>
  <si>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</si>
  <si>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</si>
  <si>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</si>
  <si>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</si>
  <si>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</si>
  <si>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</si>
  <si>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</si>
  <si>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</si>
  <si>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</si>
  <si>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</si>
  <si>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</si>
  <si>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</si>
  <si>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</si>
  <si>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</si>
  <si>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</si>
  <si>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</si>
  <si>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</si>
  <si>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</si>
  <si>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</si>
  <si>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</si>
  <si>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</si>
  <si>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</si>
  <si>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</si>
  <si>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</si>
  <si>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</si>
  <si>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</si>
  <si>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</si>
  <si>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</si>
  <si>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</si>
  <si>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</si>
  <si>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</si>
  <si>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</si>
  <si>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</si>
  <si>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</si>
  <si>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</si>
  <si>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</si>
  <si>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</si>
  <si>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</si>
  <si>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</si>
  <si>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</si>
  <si>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</si>
  <si>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</si>
  <si>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</si>
  <si>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</si>
  <si>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</si>
  <si>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</si>
  <si>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</si>
  <si>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</si>
  <si>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</si>
  <si>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</si>
  <si>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</si>
  <si>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</si>
  <si>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</si>
  <si>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</si>
  <si>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</si>
  <si>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</si>
  <si>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</si>
  <si>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</si>
  <si>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</si>
  <si>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</si>
  <si>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</si>
  <si>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</si>
  <si>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</si>
  <si>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</si>
  <si>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</si>
  <si>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</si>
  <si>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</si>
  <si>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</si>
  <si>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</si>
  <si>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</si>
  <si>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</si>
  <si>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</si>
  <si>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</si>
  <si>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</si>
  <si>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</si>
  <si>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</si>
  <si>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</si>
  <si>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</si>
  <si>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</si>
  <si>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</si>
  <si>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</si>
  <si>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</si>
  <si>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</si>
  <si>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</si>
  <si>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</si>
  <si>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</si>
  <si>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</si>
  <si>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</si>
  <si>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</si>
  <si>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</si>
  <si>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</si>
  <si>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</si>
  <si>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</si>
  <si>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</si>
  <si>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</si>
  <si>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</si>
  <si>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</si>
  <si>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</si>
  <si>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</si>
  <si>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</si>
  <si>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</si>
  <si>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</si>
  <si>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</si>
  <si>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</si>
  <si>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</si>
  <si>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</si>
  <si>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</si>
  <si>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</si>
  <si>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</si>
  <si>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</si>
  <si>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</si>
  <si>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</si>
  <si>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</si>
  <si>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</si>
  <si>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</si>
  <si>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</si>
  <si>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</si>
  <si>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</si>
  <si>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</si>
  <si>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</si>
  <si>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</si>
  <si>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</si>
  <si>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</si>
  <si>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</si>
  <si>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</si>
  <si>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</si>
  <si>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</si>
  <si>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</si>
  <si>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</si>
  <si>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</si>
  <si>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</si>
  <si>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</si>
  <si>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</si>
  <si>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</si>
  <si>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</si>
  <si>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</si>
  <si>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</si>
  <si>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</si>
  <si>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</si>
  <si>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</si>
  <si>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</si>
  <si>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</si>
  <si>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</si>
  <si>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</si>
  <si>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</si>
  <si>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</si>
  <si>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</si>
  <si>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</si>
  <si>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</si>
  <si>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</si>
  <si>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</si>
  <si>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</si>
  <si>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</si>
  <si>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</si>
  <si>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</si>
  <si>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</si>
  <si>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</si>
  <si>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</si>
  <si>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</si>
  <si>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</si>
  <si>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</si>
  <si>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</si>
  <si>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</si>
  <si>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</si>
  <si>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</si>
  <si>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</si>
  <si>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</si>
  <si>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</si>
  <si>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</si>
  <si>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</si>
  <si>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</si>
  <si>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</si>
  <si>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</si>
  <si>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</si>
  <si>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</si>
  <si>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</si>
  <si>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</si>
  <si>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</si>
  <si>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</si>
  <si>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</si>
  <si>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</si>
  <si>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</si>
  <si>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</si>
  <si>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</si>
  <si>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</si>
  <si>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</si>
  <si>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</si>
  <si>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</si>
  <si>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</si>
  <si>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</si>
  <si>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</si>
  <si>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</si>
  <si>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</si>
  <si>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</si>
  <si>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</si>
  <si>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</si>
  <si>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</si>
  <si>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</si>
  <si>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</si>
  <si>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</si>
  <si>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</si>
  <si>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</si>
  <si>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</si>
  <si>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</si>
  <si>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</si>
  <si>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</si>
  <si>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</si>
  <si>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</si>
  <si>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</si>
  <si>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</si>
  <si>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</si>
  <si>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</si>
  <si>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</si>
  <si>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</si>
  <si>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</si>
  <si>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</si>
  <si>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</si>
  <si>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</si>
  <si>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</si>
  <si>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</si>
  <si>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</si>
  <si>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</si>
  <si>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</si>
  <si>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</si>
  <si>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</si>
  <si>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</si>
  <si>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</si>
  <si>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</si>
  <si>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</si>
  <si>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</si>
  <si>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</si>
  <si>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</si>
  <si>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</si>
  <si>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</si>
  <si>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</si>
  <si>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</si>
  <si>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</si>
  <si>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</si>
  <si>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</si>
  <si>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</si>
  <si>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</si>
  <si>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</si>
  <si>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</si>
  <si>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</si>
  <si>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</si>
  <si>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</si>
  <si>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</si>
  <si>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</si>
  <si>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</si>
  <si>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</si>
  <si>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</si>
  <si>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</si>
  <si>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</si>
  <si>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</si>
  <si>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</si>
  <si>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</si>
  <si>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</si>
  <si>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</si>
  <si>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</si>
  <si>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</si>
  <si>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</si>
  <si>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</si>
  <si>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</si>
  <si>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</si>
  <si>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</si>
  <si>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</si>
  <si>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</si>
  <si>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</si>
  <si>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</si>
  <si>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</si>
  <si>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</si>
  <si>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</si>
  <si>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</si>
  <si>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</si>
  <si>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</si>
  <si>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</si>
  <si>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</si>
  <si>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</si>
  <si>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</si>
  <si>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</si>
  <si>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</si>
  <si>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</si>
  <si>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</si>
  <si>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</si>
  <si>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</si>
  <si>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</si>
  <si>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</si>
  <si>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</si>
  <si>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</si>
  <si>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</si>
  <si>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</si>
  <si>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</si>
  <si>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</si>
  <si>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</si>
  <si>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</si>
  <si>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</si>
  <si>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</si>
  <si>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</si>
  <si>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</si>
  <si>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</si>
  <si>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</si>
  <si>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</si>
  <si>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</si>
  <si>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</si>
  <si>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</si>
  <si>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</si>
  <si>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</si>
  <si>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</si>
  <si>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</si>
  <si>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</si>
  <si>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</si>
  <si>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</si>
  <si>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</si>
  <si>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</si>
  <si>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</si>
  <si>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</si>
  <si>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</si>
  <si>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</si>
  <si>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</si>
  <si>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</si>
  <si>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</si>
  <si>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</si>
  <si>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</si>
  <si>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</si>
  <si>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</si>
  <si>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</si>
  <si>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</si>
  <si>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</si>
  <si>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</si>
  <si>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</si>
  <si>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</si>
  <si>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</si>
  <si>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</si>
  <si>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</si>
  <si>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</si>
  <si>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</si>
  <si>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</si>
  <si>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</si>
  <si>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</si>
  <si>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</si>
  <si>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</si>
  <si>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</si>
  <si>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</si>
  <si>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</si>
  <si>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</si>
  <si>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</si>
  <si>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</si>
  <si>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</si>
  <si>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</si>
  <si>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</si>
  <si>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</si>
  <si>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</si>
  <si>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</si>
  <si>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</si>
  <si>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</si>
  <si>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</si>
  <si>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</si>
  <si>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</si>
  <si>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</si>
  <si>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</si>
  <si>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</si>
  <si>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</si>
  <si>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</si>
  <si>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</si>
  <si>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</si>
  <si>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</si>
  <si>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</si>
  <si>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</si>
  <si>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</si>
  <si>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</si>
  <si>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</si>
  <si>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</si>
  <si>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</si>
  <si>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</si>
  <si>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</si>
  <si>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</si>
  <si>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</si>
  <si>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</si>
  <si>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</si>
  <si>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</si>
  <si>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</si>
  <si>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</si>
  <si>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</si>
  <si>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</si>
  <si>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</si>
  <si>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</si>
  <si>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</si>
  <si>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</si>
  <si>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</si>
  <si>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</si>
  <si>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</si>
  <si>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</si>
  <si>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</si>
  <si>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</si>
  <si>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</si>
  <si>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</si>
  <si>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</si>
  <si>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</si>
  <si>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</si>
  <si>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</si>
  <si>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</si>
  <si>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</si>
  <si>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</si>
  <si>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</si>
  <si>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</si>
  <si>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</si>
  <si>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</si>
  <si>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</si>
  <si>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</si>
  <si>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</si>
  <si>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</si>
  <si>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</si>
  <si>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</si>
  <si>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</si>
  <si>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</si>
  <si>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</si>
  <si>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</si>
  <si>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</si>
  <si>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</si>
  <si>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</si>
  <si>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</si>
  <si>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</si>
  <si>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</si>
  <si>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</si>
  <si>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</si>
  <si>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</si>
  <si>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</si>
  <si>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</si>
  <si>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</si>
  <si>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</si>
  <si>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</si>
  <si>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</si>
  <si>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</si>
  <si>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</si>
  <si>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</si>
  <si>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</si>
  <si>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</si>
  <si>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</si>
  <si>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</si>
  <si>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</si>
  <si>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</si>
  <si>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</si>
  <si>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</si>
  <si>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</si>
  <si>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</si>
  <si>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</si>
  <si>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</si>
  <si>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</si>
  <si>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</si>
  <si>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</si>
  <si>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</si>
  <si>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</si>
  <si>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</si>
  <si>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</si>
  <si>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</si>
  <si>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</si>
  <si>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</si>
  <si>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</si>
  <si>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</si>
  <si>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</si>
  <si>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</si>
  <si>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</si>
  <si>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</si>
  <si>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</si>
  <si>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</si>
  <si>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</si>
  <si>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</si>
  <si>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</si>
  <si>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</si>
  <si>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</si>
  <si>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</si>
  <si>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</si>
  <si>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</si>
  <si>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</si>
  <si>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</si>
  <si>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</si>
  <si>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</si>
  <si>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</si>
  <si>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</si>
  <si>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</si>
  <si>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</si>
  <si>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</si>
  <si>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</si>
  <si>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</si>
  <si>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</si>
  <si>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</si>
  <si>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</si>
  <si>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</si>
  <si>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</si>
  <si>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</si>
  <si>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</si>
  <si>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</si>
  <si>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</si>
  <si>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</si>
  <si>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</si>
  <si>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</si>
  <si>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</si>
  <si>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</si>
  <si>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</si>
  <si>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</si>
  <si>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</si>
  <si>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</si>
  <si>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</si>
  <si>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</si>
  <si>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</si>
  <si>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</si>
  <si>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</si>
  <si>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</si>
  <si>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</si>
  <si>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</si>
  <si>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</si>
  <si>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</si>
  <si>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</si>
  <si>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</si>
  <si>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</si>
  <si>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</si>
  <si>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</si>
  <si>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</si>
  <si>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</si>
  <si>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</si>
  <si>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</si>
  <si>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</si>
  <si>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</si>
  <si>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</si>
  <si>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</si>
  <si>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</si>
  <si>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</si>
  <si>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</si>
  <si>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</si>
  <si>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</si>
  <si>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</si>
  <si>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</si>
  <si>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</si>
  <si>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</si>
  <si>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</si>
  <si>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</si>
  <si>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</si>
  <si>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</si>
  <si>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</si>
  <si>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</si>
  <si>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</si>
  <si>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</si>
  <si>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</si>
  <si>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</si>
  <si>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</si>
  <si>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</si>
  <si>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</si>
  <si>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</si>
  <si>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</si>
  <si>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</si>
  <si>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</si>
  <si>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</si>
  <si>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</si>
  <si>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</si>
  <si>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</si>
  <si>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</si>
  <si>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</si>
  <si>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</si>
  <si>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</si>
  <si>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</si>
  <si>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</si>
  <si>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</si>
  <si>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</si>
  <si>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</si>
  <si>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</si>
  <si>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</si>
  <si>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</si>
  <si>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</si>
  <si>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</si>
  <si>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</si>
  <si>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</si>
  <si>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</si>
  <si>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</si>
  <si>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</si>
  <si>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</si>
  <si>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</si>
  <si>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</si>
  <si>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</si>
  <si>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</si>
  <si>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</si>
  <si>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</si>
  <si>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</si>
  <si>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</si>
  <si>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</si>
  <si>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</si>
  <si>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</si>
  <si>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</si>
  <si>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</si>
  <si>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</si>
  <si>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</si>
  <si>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</si>
  <si>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</si>
  <si>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</si>
  <si>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</si>
  <si>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</si>
  <si>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</si>
  <si>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</si>
  <si>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</si>
  <si>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</si>
  <si>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</si>
  <si>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</si>
  <si>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</si>
  <si>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</si>
  <si>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</si>
  <si>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</si>
  <si>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</si>
  <si>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</si>
  <si>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</si>
  <si>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</si>
  <si>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</si>
  <si>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</si>
  <si>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</si>
  <si>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</si>
  <si>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</si>
  <si>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</si>
  <si>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</si>
  <si>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</si>
  <si>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</si>
  <si>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</si>
  <si>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</si>
  <si>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</si>
  <si>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</si>
  <si>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</si>
  <si>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</si>
  <si>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</si>
  <si>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</si>
  <si>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</si>
  <si>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</si>
  <si>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</si>
  <si>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</si>
  <si>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</si>
  <si>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</si>
  <si>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</si>
  <si>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</si>
  <si>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</si>
  <si>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</si>
  <si>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</si>
  <si>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</si>
  <si>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</si>
  <si>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</si>
  <si>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</si>
  <si>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</si>
  <si>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</si>
  <si>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</si>
  <si>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</si>
  <si>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</si>
  <si>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</si>
  <si>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</si>
  <si>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</si>
  <si>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</si>
  <si>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</si>
  <si>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</si>
  <si>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</si>
  <si>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</si>
  <si>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</si>
  <si>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</si>
  <si>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</si>
  <si>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</si>
  <si>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</si>
  <si>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</si>
  <si>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</si>
  <si>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</si>
  <si>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</si>
  <si>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</si>
  <si>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</si>
  <si>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</si>
  <si>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</si>
  <si>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</si>
  <si>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</si>
  <si>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</si>
  <si>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</si>
  <si>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</si>
  <si>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</si>
  <si>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</si>
  <si>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</si>
  <si>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</si>
  <si>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</si>
  <si>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</si>
  <si>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</si>
  <si>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</si>
  <si>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</si>
  <si>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</si>
  <si>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</si>
  <si>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</si>
  <si>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</si>
  <si>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</si>
  <si>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</si>
  <si>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</si>
  <si>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</si>
  <si>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</si>
  <si>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</si>
  <si>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</si>
  <si>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</si>
  <si>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</si>
  <si>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</si>
  <si>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</si>
  <si>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</si>
  <si>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</si>
  <si>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</si>
  <si>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</si>
  <si>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</si>
  <si>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</si>
  <si>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</si>
  <si>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</si>
  <si>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</si>
  <si>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</si>
  <si>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</si>
  <si>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</si>
  <si>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</si>
  <si>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</si>
  <si>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</si>
  <si>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</si>
  <si>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</si>
  <si>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</si>
  <si>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</si>
  <si>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</si>
  <si>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</si>
  <si>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</si>
  <si>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</si>
  <si>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</si>
  <si>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</si>
  <si>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</si>
  <si>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</si>
  <si>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</si>
  <si>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</si>
  <si>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</si>
  <si>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</si>
  <si>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</si>
  <si>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</si>
  <si>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</si>
  <si>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</si>
  <si>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</si>
  <si>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</si>
  <si>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</si>
  <si>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</si>
  <si>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</si>
  <si>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</si>
  <si>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</si>
  <si>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</si>
  <si>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</si>
  <si>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</si>
  <si>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</si>
  <si>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</si>
  <si>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</si>
  <si>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</si>
  <si>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</si>
  <si>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</si>
  <si>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</si>
  <si>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</si>
  <si>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</si>
  <si>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</si>
  <si>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</si>
  <si>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</si>
  <si>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</si>
  <si>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</si>
  <si>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</si>
  <si>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</si>
  <si>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</si>
  <si>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</si>
  <si>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</si>
  <si>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</si>
  <si>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</si>
  <si>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</si>
  <si>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</si>
  <si>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</si>
  <si>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</si>
  <si>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</si>
  <si>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</si>
  <si>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</si>
  <si>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</si>
  <si>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</si>
  <si>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</si>
  <si>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</si>
  <si>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</si>
  <si>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</si>
  <si>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</si>
  <si>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</si>
  <si>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</si>
  <si>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</si>
  <si>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</si>
  <si>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</si>
  <si>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</si>
  <si>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</si>
  <si>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</si>
  <si>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</si>
  <si>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</si>
  <si>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</si>
  <si>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</si>
  <si>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</si>
  <si>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</si>
  <si>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</si>
  <si>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</si>
  <si>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</si>
  <si>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</si>
  <si>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</si>
  <si>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</si>
  <si>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</si>
  <si>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</si>
  <si>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</si>
  <si>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</si>
  <si>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</si>
  <si>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</si>
  <si>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</si>
  <si>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</si>
  <si>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</si>
  <si>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</si>
  <si>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</si>
  <si>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</si>
  <si>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</si>
  <si>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</si>
  <si>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</si>
  <si>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</si>
  <si>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</si>
  <si>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</si>
  <si>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</si>
  <si>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</si>
  <si>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</si>
  <si>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</si>
  <si>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</si>
  <si>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</si>
  <si>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</si>
  <si>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</si>
  <si>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</si>
  <si>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</si>
  <si>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</si>
  <si>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</si>
  <si>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</si>
  <si>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</si>
  <si>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</si>
  <si>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</si>
  <si>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</si>
  <si>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</si>
  <si>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</si>
  <si>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</si>
  <si>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</si>
  <si>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</si>
  <si>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</si>
  <si>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</si>
  <si>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</si>
  <si>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</si>
  <si>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</si>
  <si>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</si>
  <si>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</si>
  <si>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</si>
  <si>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</si>
  <si>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</si>
  <si>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</si>
  <si>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</si>
  <si>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</si>
  <si>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</si>
  <si>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</si>
  <si>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</si>
  <si>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</si>
  <si>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</si>
  <si>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</si>
  <si>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</si>
  <si>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</si>
  <si>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</si>
  <si>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</si>
  <si>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</si>
  <si>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</si>
  <si>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</si>
  <si>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</si>
  <si>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</si>
  <si>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</si>
  <si>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</si>
  <si>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</si>
  <si>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</si>
  <si>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</si>
  <si>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</si>
  <si>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</si>
  <si>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</si>
  <si>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</si>
  <si>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</si>
  <si>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</si>
  <si>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</si>
  <si>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</si>
  <si>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</si>
  <si>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</si>
  <si>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</si>
  <si>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</si>
  <si>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</si>
  <si>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</si>
  <si>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</si>
  <si>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</si>
  <si>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</si>
  <si>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</si>
  <si>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</si>
  <si>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</si>
  <si>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</si>
  <si>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</si>
  <si>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</si>
  <si>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</si>
  <si>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</si>
  <si>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</si>
  <si>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</si>
  <si>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</si>
  <si>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</si>
  <si>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</si>
  <si>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</si>
  <si>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</si>
  <si>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</si>
  <si>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</si>
  <si>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</si>
  <si>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</si>
  <si>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</si>
  <si>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</si>
  <si>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</si>
  <si>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</si>
  <si>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</si>
  <si>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</si>
  <si>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</si>
  <si>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</si>
  <si>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</si>
  <si>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</si>
  <si>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</si>
  <si>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</si>
  <si>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</si>
  <si>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</si>
  <si>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</si>
  <si>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</si>
  <si>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</si>
  <si>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</si>
  <si>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</si>
  <si>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</si>
  <si>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</si>
  <si>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</si>
  <si>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</si>
  <si>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</si>
  <si>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</si>
  <si>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</si>
  <si>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</si>
  <si>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</si>
  <si>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</si>
  <si>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</si>
  <si>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</si>
  <si>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</si>
  <si>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</si>
  <si>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</si>
  <si>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</si>
  <si>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</si>
  <si>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</si>
  <si>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</si>
  <si>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</si>
  <si>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</si>
  <si>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</si>
  <si>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</si>
  <si>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</si>
  <si>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</si>
  <si>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</si>
  <si>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</si>
  <si>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</si>
  <si>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</si>
  <si>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</si>
  <si>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</si>
  <si>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</si>
  <si>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</si>
  <si>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</si>
  <si>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</si>
  <si>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</si>
  <si>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</si>
  <si>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</si>
  <si>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</si>
  <si>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</si>
  <si>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</si>
  <si>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</si>
  <si>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</si>
  <si>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</si>
  <si>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</si>
  <si>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</si>
  <si>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</si>
  <si>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</si>
  <si>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</si>
  <si>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</si>
  <si>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</si>
  <si>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</si>
  <si>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</si>
  <si>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</si>
  <si>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</si>
  <si>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</si>
  <si>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</si>
  <si>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</si>
  <si>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</si>
  <si>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</si>
  <si>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</si>
  <si>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</si>
  <si>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</si>
  <si>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</si>
  <si>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</si>
  <si>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</si>
  <si>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</si>
  <si>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</si>
  <si>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</si>
  <si>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</si>
  <si>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</si>
  <si>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</si>
  <si>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</si>
  <si>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</si>
  <si>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</si>
  <si>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</si>
  <si>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</si>
  <si>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</si>
  <si>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</si>
  <si>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</si>
  <si>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</si>
  <si>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</si>
  <si>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</si>
  <si>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</si>
  <si>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</si>
  <si>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</si>
  <si>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</si>
  <si>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</si>
  <si>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</si>
  <si>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</si>
  <si>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</si>
  <si>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</si>
  <si>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</si>
  <si>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</si>
  <si>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</si>
  <si>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</si>
  <si>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</si>
  <si>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</si>
  <si>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</si>
  <si>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</si>
  <si>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</si>
  <si>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</si>
  <si>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</si>
  <si>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</si>
  <si>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</si>
  <si>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</si>
  <si>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</si>
  <si>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</si>
  <si>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</si>
  <si>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</si>
  <si>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</si>
  <si>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</si>
  <si>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</si>
  <si>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</si>
  <si>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</si>
  <si>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</si>
  <si>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</si>
  <si>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</si>
  <si>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</si>
  <si>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</si>
  <si>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</si>
  <si>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</si>
  <si>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</si>
  <si>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</si>
  <si>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</si>
  <si>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</si>
  <si>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</si>
  <si>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</si>
  <si>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</si>
  <si>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</si>
  <si>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</si>
  <si>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</si>
  <si>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</si>
  <si>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</si>
  <si>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</si>
  <si>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</si>
  <si>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</si>
  <si>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</si>
  <si>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</si>
  <si>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</si>
  <si>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</si>
  <si>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</si>
  <si>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</si>
  <si>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</si>
  <si>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</si>
  <si>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</si>
  <si>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</si>
  <si>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</si>
  <si>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</si>
  <si>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</si>
  <si>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</si>
  <si>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</si>
  <si>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</si>
  <si>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</si>
  <si>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</si>
  <si>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</si>
  <si>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</si>
  <si>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</si>
  <si>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</si>
  <si>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</si>
  <si>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</si>
  <si>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</si>
  <si>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</si>
  <si>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</si>
  <si>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</si>
  <si>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</si>
  <si>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</si>
  <si>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</si>
  <si>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</si>
  <si>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</si>
  <si>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</si>
  <si>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</si>
  <si>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</si>
  <si>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</si>
  <si>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</si>
  <si>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</si>
  <si>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</si>
  <si>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</si>
  <si>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</si>
  <si>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</si>
  <si>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</si>
  <si>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</si>
  <si>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</si>
  <si>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</si>
  <si>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</si>
  <si>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</si>
  <si>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</si>
  <si>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</si>
  <si>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</si>
  <si>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</si>
  <si>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</si>
  <si>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</si>
  <si>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</si>
  <si>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</si>
  <si>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</si>
  <si>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</si>
  <si>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</si>
  <si>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</si>
  <si>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</si>
  <si>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</si>
  <si>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</si>
  <si>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</si>
  <si>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</si>
  <si>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</si>
  <si>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</si>
  <si>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</si>
  <si>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</si>
  <si>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</si>
  <si>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</si>
  <si>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</si>
  <si>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</si>
  <si>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</si>
  <si>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</si>
  <si>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</si>
  <si>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</si>
  <si>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</si>
  <si>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</si>
  <si>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</si>
  <si>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</si>
  <si>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</si>
  <si>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</si>
  <si>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</si>
  <si>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</si>
  <si>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</si>
  <si>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</si>
  <si>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</si>
  <si>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</si>
  <si>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</si>
  <si>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</si>
  <si>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</si>
  <si>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</si>
  <si>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</si>
  <si>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</si>
  <si>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</si>
  <si>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</si>
  <si>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</si>
  <si>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</si>
  <si>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</si>
  <si>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</si>
  <si>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</si>
  <si>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</si>
  <si>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</si>
  <si>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</si>
  <si>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</si>
  <si>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</si>
  <si>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</si>
  <si>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</si>
  <si>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</si>
  <si>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</si>
  <si>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</si>
  <si>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</si>
  <si>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</si>
  <si>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</si>
  <si>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</si>
  <si>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</si>
  <si>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</si>
  <si>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</si>
  <si>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</si>
  <si>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</si>
  <si>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</si>
  <si>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</si>
  <si>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</si>
  <si>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</si>
  <si>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</si>
  <si>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</si>
  <si>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</si>
  <si>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</si>
  <si>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</si>
  <si>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</si>
  <si>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</si>
  <si>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</si>
  <si>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</si>
  <si>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</si>
  <si>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</si>
  <si>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</si>
  <si>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</si>
  <si>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</si>
  <si>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</si>
  <si>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</si>
  <si>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</si>
  <si>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</si>
  <si>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</si>
  <si>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</si>
  <si>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</si>
  <si>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</si>
  <si>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</si>
  <si>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</si>
  <si>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</si>
  <si>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</si>
  <si>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</si>
  <si>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</si>
  <si>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</si>
  <si>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</si>
  <si>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</si>
  <si>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</si>
  <si>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</si>
  <si>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</si>
  <si>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</si>
  <si>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</si>
  <si>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</si>
  <si>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</si>
  <si>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</si>
  <si>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</si>
  <si>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</si>
  <si>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</si>
  <si>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</si>
  <si>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</si>
  <si>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</si>
  <si>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</si>
  <si>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</si>
  <si>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</si>
  <si>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</si>
  <si>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</si>
  <si>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</si>
  <si>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</si>
  <si>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</si>
  <si>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</si>
  <si>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</si>
  <si>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</si>
  <si>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</si>
  <si>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</si>
  <si>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</si>
  <si>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</si>
  <si>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</si>
  <si>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</si>
  <si>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</si>
  <si>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</si>
  <si>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</si>
  <si>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</si>
  <si>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</si>
  <si>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</si>
  <si>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</si>
  <si>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</si>
  <si>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</si>
  <si>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</si>
  <si>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</si>
  <si>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</si>
  <si>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</si>
  <si>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</si>
  <si>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</si>
  <si>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</si>
  <si>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</si>
  <si>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</si>
  <si>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</si>
  <si>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</si>
  <si>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</si>
  <si>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</si>
  <si>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</si>
  <si>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</si>
  <si>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</si>
  <si>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</si>
  <si>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</si>
  <si>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</si>
  <si>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</si>
  <si>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</si>
  <si>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</si>
  <si>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</si>
  <si>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</si>
  <si>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</si>
  <si>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</si>
  <si>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</si>
  <si>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</si>
  <si>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</si>
  <si>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</si>
  <si>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</si>
  <si>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</si>
  <si>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</si>
  <si>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</si>
  <si>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</si>
  <si>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</si>
  <si>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</si>
  <si>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</si>
  <si>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</si>
  <si>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</si>
  <si>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</si>
  <si>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</si>
  <si>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</si>
  <si>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</si>
  <si>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</si>
  <si>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</si>
  <si>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</si>
  <si>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</si>
  <si>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</si>
  <si>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</si>
  <si>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</si>
  <si>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</si>
  <si>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</si>
  <si>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</si>
  <si>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</si>
  <si>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</si>
  <si>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</si>
  <si>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</si>
  <si>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</si>
  <si>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</si>
  <si>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</si>
  <si>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</si>
  <si>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</si>
  <si>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</si>
  <si>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</si>
  <si>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</si>
  <si>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</si>
  <si>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</si>
  <si>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</si>
  <si>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</si>
  <si>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</si>
  <si>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</si>
  <si>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</si>
  <si>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</si>
  <si>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</si>
  <si>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</si>
  <si>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</si>
  <si>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</si>
  <si>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</si>
  <si>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</si>
  <si>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</si>
  <si>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</si>
  <si>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</si>
  <si>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</si>
  <si>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</si>
  <si>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</si>
  <si>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</si>
  <si>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</si>
  <si>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</si>
  <si>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</si>
  <si>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</si>
  <si>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</si>
  <si>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</si>
  <si>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</si>
  <si>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</si>
  <si>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</si>
  <si>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</si>
  <si>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</si>
  <si>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</si>
  <si>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</si>
  <si>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</si>
  <si>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</si>
  <si>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</si>
  <si>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</si>
  <si>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</si>
  <si>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</si>
  <si>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</si>
  <si>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</si>
  <si>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</si>
  <si>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</si>
  <si>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</si>
  <si>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</si>
  <si>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</si>
  <si>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</si>
  <si>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</si>
  <si>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</si>
  <si>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</si>
  <si>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</si>
  <si>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</si>
  <si>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</si>
  <si>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</si>
  <si>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</si>
  <si>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</si>
  <si>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</si>
  <si>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</si>
  <si>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</si>
  <si>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</si>
  <si>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</si>
  <si>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</si>
  <si>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</si>
  <si>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</si>
  <si>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</si>
  <si>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</si>
  <si>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</si>
  <si>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</si>
  <si>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</si>
  <si>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</si>
  <si>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</si>
  <si>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</si>
  <si>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</si>
  <si>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</si>
  <si>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</si>
  <si>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</si>
  <si>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</si>
  <si>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</si>
  <si>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</si>
  <si>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</si>
  <si>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</si>
  <si>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</si>
  <si>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</si>
  <si>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</si>
  <si>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</si>
  <si>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</si>
  <si>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</si>
  <si>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</si>
  <si>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</si>
  <si>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</si>
  <si>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</si>
  <si>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</si>
  <si>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</si>
  <si>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</si>
  <si>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</si>
  <si>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</si>
  <si>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</si>
  <si>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</si>
  <si>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</si>
  <si>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</si>
  <si>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</si>
  <si>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</si>
  <si>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</si>
  <si>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</si>
  <si>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</si>
  <si>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</si>
  <si>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</si>
  <si>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</si>
  <si>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</si>
  <si>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</si>
  <si>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</si>
  <si>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</si>
  <si>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</si>
  <si>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</si>
  <si>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</si>
  <si>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</si>
  <si>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</si>
  <si>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</si>
  <si>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</si>
  <si>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</si>
  <si>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</si>
  <si>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</si>
  <si>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</si>
  <si>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</si>
  <si>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</si>
  <si>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</si>
  <si>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</si>
  <si>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</si>
  <si>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</si>
  <si>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</si>
  <si>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</si>
  <si>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</si>
  <si>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</si>
  <si>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</si>
  <si>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</si>
  <si>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</si>
  <si>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</si>
  <si>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</si>
  <si>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</si>
  <si>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</si>
  <si>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</si>
  <si>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</si>
  <si>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</si>
  <si>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</si>
  <si>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</si>
  <si>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</si>
  <si>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</si>
  <si>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</si>
  <si>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</si>
  <si>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</si>
  <si>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</si>
  <si>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</si>
  <si>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</si>
  <si>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</si>
  <si>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</si>
  <si>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</si>
  <si>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</si>
  <si>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</si>
  <si>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</si>
  <si>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</si>
  <si>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</si>
  <si>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</si>
  <si>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</si>
  <si>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</si>
  <si>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</si>
  <si>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</si>
  <si>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</si>
  <si>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</si>
  <si>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</si>
  <si>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</si>
  <si>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</si>
  <si>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</si>
  <si>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</si>
  <si>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</si>
  <si>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</si>
  <si>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</si>
  <si>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</si>
  <si>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</si>
  <si>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</si>
  <si>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</si>
  <si>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</si>
  <si>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</si>
  <si>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</si>
  <si>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</si>
  <si>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</si>
  <si>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</si>
  <si>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</si>
  <si>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</si>
  <si>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</si>
  <si>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</si>
  <si>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</si>
  <si>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</si>
  <si>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</si>
  <si>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</si>
  <si>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</si>
  <si>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</si>
  <si>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</si>
  <si>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</si>
  <si>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</si>
  <si>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</si>
  <si>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</si>
  <si>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</si>
  <si>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</si>
  <si>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</si>
  <si>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</si>
  <si>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</si>
  <si>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</si>
  <si>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</si>
  <si>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</si>
  <si>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</si>
  <si>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</si>
  <si>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</si>
  <si>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</si>
  <si>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</si>
  <si>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</si>
  <si>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</si>
  <si>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</si>
  <si>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</si>
  <si>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</si>
  <si>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</si>
  <si>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</si>
  <si>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</si>
  <si>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</si>
  <si>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</si>
  <si>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</si>
  <si>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</si>
  <si>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</si>
  <si>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</si>
  <si>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</si>
  <si>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</si>
  <si>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</si>
  <si>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</si>
  <si>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</si>
  <si>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</si>
  <si>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</si>
  <si>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</si>
  <si>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</si>
  <si>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</si>
  <si>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</si>
  <si>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</si>
  <si>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</si>
  <si>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</si>
  <si>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</si>
  <si>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</si>
  <si>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</si>
  <si>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</si>
  <si>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</si>
  <si>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</si>
  <si>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</si>
  <si>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</si>
  <si>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</si>
  <si>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</si>
  <si>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</si>
  <si>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</si>
  <si>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</si>
  <si>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</si>
  <si>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</si>
  <si>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</si>
  <si>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</si>
  <si>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</si>
  <si>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</si>
  <si>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</si>
  <si>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</si>
  <si>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</si>
  <si>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</si>
  <si>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</si>
  <si>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</si>
  <si>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</si>
  <si>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</si>
  <si>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</si>
  <si>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</si>
  <si>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</si>
  <si>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</si>
  <si>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</si>
  <si>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</si>
  <si>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</si>
  <si>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</si>
  <si>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</si>
  <si>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</si>
  <si>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</si>
  <si>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</si>
  <si>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</si>
  <si>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</si>
  <si>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</si>
  <si>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</si>
  <si>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</si>
  <si>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</si>
  <si>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</si>
  <si>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</si>
  <si>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</si>
  <si>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</si>
  <si>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</si>
  <si>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</si>
  <si>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</si>
  <si>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</si>
  <si>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</si>
  <si>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</si>
  <si>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</si>
  <si>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</si>
  <si>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</si>
  <si>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</si>
  <si>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</si>
  <si>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</si>
  <si>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</si>
  <si>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</si>
  <si>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</si>
  <si>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</si>
  <si>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</si>
  <si>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</si>
  <si>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</si>
  <si>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</si>
  <si>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</si>
  <si>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</si>
  <si>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</si>
  <si>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</si>
  <si>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</si>
  <si>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</si>
  <si>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</si>
  <si>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</si>
  <si>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</si>
  <si>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</si>
  <si>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</si>
  <si>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</si>
  <si>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</si>
  <si>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</si>
  <si>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</si>
  <si>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</si>
  <si>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</si>
  <si>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</si>
  <si>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</si>
  <si>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</si>
  <si>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</si>
  <si>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</si>
  <si>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</si>
  <si>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</si>
  <si>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</si>
  <si>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</si>
  <si>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</si>
  <si>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</si>
  <si>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</si>
  <si>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</si>
  <si>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</si>
  <si>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</si>
  <si>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</si>
  <si>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</si>
  <si>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</si>
  <si>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</si>
  <si>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</si>
  <si>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</si>
  <si>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</si>
  <si>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</si>
  <si>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</si>
  <si>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</si>
  <si>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</si>
  <si>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</si>
  <si>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</si>
  <si>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</si>
  <si>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</si>
  <si>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</si>
  <si>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</si>
  <si>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</si>
  <si>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</si>
  <si>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</si>
  <si>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</si>
  <si>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</si>
  <si>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</si>
  <si>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</si>
  <si>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</si>
  <si>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</si>
  <si>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</si>
  <si>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</si>
  <si>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</si>
  <si>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</si>
  <si>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</si>
  <si>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</si>
  <si>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</si>
  <si>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</si>
  <si>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</si>
  <si>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</si>
  <si>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</si>
  <si>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</si>
  <si>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</si>
  <si>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</si>
  <si>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</si>
  <si>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</si>
  <si>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</si>
  <si>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</si>
  <si>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</si>
  <si>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</si>
  <si>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</si>
  <si>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</si>
  <si>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</si>
  <si>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</si>
  <si>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</si>
  <si>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</si>
  <si>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</si>
  <si>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</si>
  <si>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</si>
  <si>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</si>
  <si>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</si>
  <si>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</si>
  <si>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</si>
  <si>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</si>
  <si>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</si>
  <si>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</si>
  <si>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</si>
  <si>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</si>
  <si>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</si>
  <si>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</si>
  <si>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</si>
  <si>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</si>
  <si>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</si>
  <si>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</si>
  <si>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</si>
  <si>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</si>
  <si>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</si>
  <si>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</si>
  <si>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</si>
  <si>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</si>
  <si>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</si>
  <si>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</si>
  <si>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</si>
  <si>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</si>
  <si>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</si>
  <si>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</si>
  <si>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</si>
  <si>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</si>
  <si>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</si>
  <si>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</si>
  <si>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</si>
  <si>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</si>
  <si>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</si>
  <si>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</si>
  <si>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</si>
  <si>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</si>
  <si>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</si>
  <si>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</si>
  <si>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</si>
  <si>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</si>
  <si>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</si>
  <si>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</si>
  <si>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</si>
  <si>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</si>
  <si>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</si>
  <si>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</si>
  <si>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</si>
  <si>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</si>
  <si>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</si>
  <si>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</si>
  <si>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</si>
  <si>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</si>
  <si>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</si>
  <si>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</si>
  <si>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</si>
  <si>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</si>
  <si>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</si>
  <si>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</si>
  <si>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</si>
  <si>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</si>
  <si>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</si>
  <si>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</si>
  <si>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</si>
  <si>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</si>
  <si>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</si>
  <si>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</si>
  <si>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</si>
  <si>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</si>
  <si>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</si>
  <si>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</si>
  <si>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</si>
  <si>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</si>
  <si>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</si>
  <si>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</si>
  <si>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</si>
  <si>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</si>
  <si>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</si>
  <si>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</si>
  <si>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</si>
  <si>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</si>
  <si>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</si>
  <si>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</si>
  <si>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</si>
  <si>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</si>
  <si>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</si>
  <si>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</si>
  <si>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</si>
  <si>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</si>
  <si>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</si>
  <si>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</si>
  <si>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</si>
  <si>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</si>
  <si>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</si>
  <si>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</si>
  <si>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</si>
  <si>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</si>
  <si>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</si>
  <si>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</si>
  <si>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</si>
  <si>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</si>
  <si>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</si>
  <si>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</si>
  <si>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</si>
  <si>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</si>
  <si>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</si>
  <si>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</si>
  <si>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</si>
  <si>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</si>
  <si>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</si>
  <si>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</si>
  <si>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</si>
  <si>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</si>
  <si>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</si>
  <si>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</si>
  <si>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</si>
  <si>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</si>
  <si>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</si>
  <si>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</si>
  <si>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</si>
  <si>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</si>
  <si>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</si>
  <si>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</si>
  <si>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</si>
  <si>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</si>
  <si>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</si>
  <si>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</si>
  <si>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</si>
  <si>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</si>
  <si>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</si>
  <si>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</si>
  <si>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</si>
  <si>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</si>
  <si>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</si>
  <si>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</si>
  <si>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</si>
  <si>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</si>
  <si>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</si>
  <si>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</si>
  <si>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</si>
  <si>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</si>
  <si>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</si>
  <si>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</si>
  <si>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</si>
  <si>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</si>
  <si>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</si>
  <si>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</si>
  <si>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</si>
  <si>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</si>
  <si>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</si>
  <si>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</si>
  <si>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</si>
  <si>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</si>
  <si>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</si>
  <si>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</si>
  <si>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</si>
  <si>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</si>
  <si>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</si>
  <si>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</si>
  <si>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</si>
  <si>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</si>
  <si>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</si>
  <si>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</si>
  <si>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</si>
  <si>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</si>
  <si>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</si>
  <si>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</si>
  <si>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</si>
  <si>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</si>
  <si>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</si>
  <si>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</si>
  <si>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</si>
  <si>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</si>
  <si>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</si>
  <si>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</si>
  <si>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</si>
  <si>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</si>
  <si>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</si>
  <si>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</si>
  <si>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</si>
  <si>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</si>
  <si>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</si>
  <si>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</si>
  <si>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</si>
  <si>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</si>
  <si>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</si>
  <si>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</si>
  <si>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</si>
  <si>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</si>
  <si>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</si>
  <si>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</si>
  <si>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</si>
  <si>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</si>
  <si>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</si>
  <si>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</si>
  <si>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</si>
  <si>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</si>
  <si>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</si>
  <si>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</si>
  <si>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</si>
  <si>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</si>
  <si>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</si>
  <si>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</si>
  <si>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</si>
  <si>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</si>
  <si>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</si>
  <si>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</si>
  <si>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</si>
  <si>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</si>
  <si>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</si>
  <si>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</si>
  <si>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</si>
  <si>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</si>
  <si>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</si>
  <si>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</si>
  <si>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</si>
  <si>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</si>
  <si>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</si>
  <si>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</si>
  <si>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</si>
  <si>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</si>
  <si>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</si>
  <si>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</si>
  <si>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</si>
  <si>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</si>
  <si>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</si>
  <si>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</si>
  <si>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</si>
  <si>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</si>
  <si>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</si>
  <si>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</si>
  <si>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</si>
  <si>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</si>
  <si>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</si>
  <si>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</si>
  <si>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</si>
  <si>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</si>
  <si>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</si>
  <si>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</si>
  <si>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</si>
  <si>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</si>
  <si>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</si>
  <si>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</si>
  <si>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</si>
  <si>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</si>
  <si>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</si>
  <si>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</si>
  <si>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</si>
  <si>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</si>
  <si>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</si>
  <si>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</si>
  <si>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</si>
  <si>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</si>
  <si>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</si>
  <si>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</si>
  <si>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</si>
  <si>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</si>
  <si>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</si>
  <si>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</si>
  <si>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</si>
  <si>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</si>
  <si>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</si>
  <si>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</si>
  <si>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</si>
  <si>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</si>
  <si>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</si>
  <si>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</si>
  <si>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</si>
  <si>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</si>
  <si>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</si>
  <si>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</si>
  <si>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</si>
  <si>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</si>
  <si>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</si>
  <si>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</si>
  <si>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</si>
  <si>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</si>
  <si>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</si>
  <si>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</si>
  <si>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</si>
  <si>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</si>
  <si>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</si>
  <si>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</si>
  <si>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</si>
  <si>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</si>
  <si>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</si>
  <si>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</si>
  <si>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</si>
  <si>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</si>
  <si>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</si>
  <si>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</si>
  <si>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</si>
  <si>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</si>
  <si>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</si>
  <si>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</si>
  <si>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</si>
  <si>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</si>
  <si>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</si>
  <si>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</si>
  <si>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</si>
  <si>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</si>
  <si>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</si>
  <si>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</si>
  <si>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</si>
  <si>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</si>
  <si>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</si>
  <si>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</si>
  <si>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</si>
  <si>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</si>
  <si>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</si>
  <si>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</si>
  <si>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</si>
  <si>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</si>
  <si>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</si>
  <si>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</si>
  <si>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</si>
  <si>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</si>
  <si>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</si>
  <si>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</si>
  <si>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</si>
  <si>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</si>
  <si>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</si>
  <si>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</si>
  <si>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</si>
  <si>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</si>
  <si>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</si>
  <si>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</si>
  <si>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</si>
  <si>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</si>
  <si>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</si>
  <si>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</si>
  <si>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</si>
  <si>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</si>
  <si>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</si>
  <si>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</si>
  <si>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</si>
  <si>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</si>
  <si>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</si>
  <si>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</si>
  <si>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</si>
  <si>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</si>
  <si>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</si>
  <si>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</si>
  <si>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</si>
  <si>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</si>
  <si>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</si>
  <si>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</si>
  <si>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</si>
  <si>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</si>
  <si>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</si>
  <si>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</si>
  <si>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</si>
  <si>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</si>
  <si>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</si>
  <si>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</si>
  <si>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</si>
  <si>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</si>
  <si>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</si>
  <si>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</si>
  <si>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</si>
  <si>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</si>
  <si>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</si>
  <si>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</si>
  <si>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</si>
  <si>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</si>
  <si>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</si>
  <si>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</si>
  <si>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</si>
  <si>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</si>
  <si>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</si>
  <si>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</si>
  <si>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</si>
  <si>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</si>
  <si>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</si>
  <si>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</si>
  <si>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</si>
  <si>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</si>
  <si>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</si>
  <si>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</si>
  <si>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</si>
  <si>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</si>
  <si>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</si>
  <si>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</si>
  <si>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</si>
  <si>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</si>
  <si>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</si>
  <si>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</si>
  <si>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</si>
  <si>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</si>
  <si>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</si>
  <si>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</si>
  <si>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</si>
  <si>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</si>
  <si>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</si>
  <si>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</si>
  <si>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</si>
  <si>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</si>
  <si>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</si>
  <si>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</si>
  <si>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</si>
  <si>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</si>
  <si>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</si>
  <si>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</si>
  <si>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</si>
  <si>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</si>
  <si>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</si>
  <si>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</si>
  <si>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</si>
  <si>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</si>
  <si>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</si>
  <si>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</si>
  <si>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</si>
  <si>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</si>
  <si>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</si>
  <si>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</si>
  <si>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</si>
  <si>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</si>
  <si>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</si>
  <si>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</si>
  <si>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</si>
  <si>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</si>
  <si>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</si>
  <si>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</si>
  <si>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</si>
  <si>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</si>
  <si>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</si>
  <si>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</si>
  <si>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</si>
  <si>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</si>
  <si>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</si>
  <si>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</si>
  <si>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</si>
  <si>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</si>
  <si>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</si>
  <si>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</si>
  <si>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</si>
  <si>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</si>
  <si>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</si>
  <si>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</si>
  <si>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</si>
  <si>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</si>
  <si>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</si>
  <si>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</si>
  <si>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</si>
  <si>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</si>
  <si>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</si>
  <si>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</si>
  <si>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</si>
  <si>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</si>
  <si>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</si>
  <si>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</si>
  <si>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</si>
  <si>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</si>
  <si>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</si>
  <si>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</si>
  <si>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</si>
  <si>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</si>
  <si>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</si>
  <si>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</si>
  <si>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</si>
  <si>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</si>
  <si>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</si>
  <si>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</si>
  <si>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</si>
  <si>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</si>
  <si>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</si>
  <si>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</si>
  <si>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</si>
  <si>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</si>
  <si>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</si>
  <si>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</si>
  <si>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</si>
  <si>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</si>
  <si>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</si>
  <si>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</si>
  <si>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</si>
  <si>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</si>
  <si>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</si>
  <si>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</si>
  <si>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</si>
  <si>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</si>
  <si>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</si>
  <si>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</si>
  <si>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</si>
  <si>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</si>
  <si>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</si>
  <si>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</si>
  <si>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</si>
  <si>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</si>
  <si>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</si>
  <si>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</si>
  <si>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</si>
  <si>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</si>
  <si>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</si>
  <si>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</si>
  <si>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</si>
  <si>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</si>
  <si>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</si>
  <si>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</si>
  <si>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</si>
  <si>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</si>
  <si>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</si>
  <si>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</si>
  <si>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</si>
  <si>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</si>
  <si>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</si>
  <si>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</si>
  <si>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</si>
  <si>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</si>
  <si>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</si>
  <si>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</si>
  <si>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</si>
  <si>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</si>
  <si>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</si>
  <si>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</si>
  <si>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</si>
  <si>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</si>
  <si>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</si>
  <si>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</si>
  <si>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</si>
  <si>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</si>
  <si>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</si>
  <si>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</si>
  <si>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</si>
  <si>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</si>
  <si>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</si>
  <si>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</si>
  <si>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</si>
  <si>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</si>
  <si>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</si>
  <si>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</si>
  <si>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</si>
  <si>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</si>
  <si>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</si>
  <si>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</si>
  <si>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</si>
  <si>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</si>
  <si>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</si>
  <si>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</si>
  <si>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</si>
  <si>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</si>
  <si>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</si>
  <si>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</si>
  <si>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</si>
  <si>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</si>
  <si>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</si>
  <si>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</si>
  <si>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</si>
  <si>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</si>
  <si>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</si>
  <si>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</si>
  <si>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</si>
  <si>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</si>
  <si>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</si>
  <si>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</si>
  <si>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</si>
  <si>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</si>
  <si>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</si>
  <si>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</si>
  <si>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</si>
  <si>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</si>
  <si>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</si>
  <si>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</si>
  <si>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</si>
  <si>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</si>
  <si>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</si>
  <si>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</si>
  <si>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</si>
  <si>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</si>
  <si>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</si>
  <si>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</si>
  <si>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</si>
  <si>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</si>
  <si>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</si>
  <si>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</si>
  <si>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</si>
  <si>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</si>
  <si>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</si>
  <si>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</si>
  <si>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</si>
  <si>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</si>
  <si>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</si>
  <si>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</si>
  <si>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</si>
  <si>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</si>
  <si>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</si>
  <si>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</si>
  <si>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</si>
  <si>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</si>
  <si>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</si>
  <si>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</si>
  <si>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</si>
  <si>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</si>
  <si>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</si>
  <si>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</si>
  <si>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</si>
  <si>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</si>
  <si>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</si>
  <si>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</si>
  <si>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</si>
  <si>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</si>
  <si>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</si>
  <si>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</si>
  <si>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</si>
  <si>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</si>
  <si>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</si>
  <si>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</si>
  <si>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</si>
  <si>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</si>
  <si>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</si>
  <si>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</si>
  <si>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</si>
  <si>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</si>
  <si>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</si>
  <si>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</si>
  <si>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</si>
  <si>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</si>
  <si>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</si>
  <si>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</si>
  <si>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</si>
  <si>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</si>
  <si>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</si>
  <si>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</si>
  <si>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</si>
  <si>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</si>
  <si>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</si>
  <si>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</si>
  <si>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</si>
  <si>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</si>
  <si>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</si>
  <si>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</si>
  <si>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</si>
  <si>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</si>
  <si>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</si>
  <si>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</si>
  <si>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</si>
  <si>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</si>
  <si>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</si>
  <si>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</si>
  <si>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</si>
  <si>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</si>
  <si>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</si>
  <si>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</si>
  <si>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</si>
  <si>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</si>
  <si>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</si>
  <si>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</si>
  <si>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</si>
  <si>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</si>
  <si>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</si>
  <si>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</si>
  <si>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</si>
  <si>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</si>
  <si>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</si>
  <si>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</si>
  <si>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</si>
  <si>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</si>
  <si>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</si>
  <si>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</si>
  <si>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</si>
  <si>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</si>
  <si>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</si>
  <si>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</si>
  <si>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</si>
  <si>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</si>
  <si>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</si>
  <si>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</si>
  <si>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</si>
  <si>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</si>
  <si>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</si>
  <si>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</si>
  <si>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</si>
  <si>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</si>
  <si>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</si>
  <si>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</si>
  <si>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</si>
  <si>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</si>
  <si>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</si>
  <si>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</si>
  <si>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</si>
  <si>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</si>
  <si>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</si>
  <si>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</si>
  <si>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</si>
  <si>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</si>
  <si>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</si>
  <si>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</si>
  <si>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</si>
  <si>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</si>
  <si>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</si>
  <si>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</si>
  <si>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</si>
  <si>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</si>
  <si>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</si>
  <si>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</si>
  <si>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</si>
  <si>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</si>
  <si>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</si>
  <si>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</si>
  <si>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</si>
  <si>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</si>
  <si>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</si>
  <si>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</si>
  <si>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</si>
  <si>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</si>
  <si>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</si>
  <si>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</si>
  <si>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</si>
  <si>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</si>
  <si>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</si>
  <si>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</si>
  <si>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</si>
  <si>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</si>
  <si>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</si>
  <si>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</si>
  <si>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</si>
  <si>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</si>
  <si>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</si>
  <si>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</si>
  <si>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</si>
  <si>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</si>
  <si>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</si>
  <si>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</si>
  <si>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</si>
  <si>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</si>
  <si>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</si>
  <si>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</si>
  <si>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</si>
  <si>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</si>
  <si>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</si>
  <si>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</si>
  <si>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</si>
  <si>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</si>
  <si>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</si>
  <si>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</si>
  <si>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</si>
  <si>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</si>
  <si>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</si>
  <si>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</si>
  <si>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</si>
  <si>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</si>
  <si>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</si>
  <si>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</si>
  <si>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</si>
  <si>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</si>
  <si>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</si>
  <si>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</si>
  <si>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</si>
  <si>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</si>
  <si>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</si>
  <si>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</si>
  <si>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</si>
  <si>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</si>
  <si>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</si>
  <si>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</si>
  <si>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</si>
  <si>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</si>
  <si>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</si>
  <si>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</si>
  <si>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</si>
  <si>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</si>
  <si>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</si>
  <si>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</si>
  <si>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</si>
  <si>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</si>
  <si>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</si>
  <si>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</si>
  <si>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</si>
  <si>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</si>
  <si>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</si>
  <si>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</si>
  <si>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</si>
  <si>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</si>
  <si>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</si>
  <si>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</si>
  <si>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</si>
  <si>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</si>
  <si>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</si>
  <si>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</si>
  <si>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</si>
  <si>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</si>
  <si>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</si>
  <si>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</si>
  <si>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</si>
  <si>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</si>
  <si>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</si>
  <si>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</si>
  <si>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</si>
  <si>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</si>
  <si>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</si>
  <si>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</si>
  <si>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</si>
  <si>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</si>
  <si>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</si>
  <si>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</si>
  <si>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</si>
  <si>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</si>
  <si>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</si>
  <si>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</si>
  <si>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</si>
  <si>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</si>
  <si>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</si>
  <si>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</si>
  <si>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</si>
  <si>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</si>
  <si>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</si>
  <si>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</si>
  <si>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</si>
  <si>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</si>
  <si>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</si>
  <si>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</si>
  <si>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</si>
  <si>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</si>
  <si>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</si>
  <si>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</si>
  <si>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</si>
  <si>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</si>
  <si>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</si>
  <si>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</si>
  <si>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</si>
  <si>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</si>
  <si>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</si>
  <si>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</si>
  <si>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</si>
  <si>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</si>
  <si>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</si>
  <si>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</si>
  <si>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</si>
  <si>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</si>
  <si>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</si>
  <si>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</si>
  <si>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</si>
  <si>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</si>
  <si>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</si>
  <si>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</si>
  <si>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</si>
  <si>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</si>
  <si>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</si>
  <si>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</si>
  <si>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</si>
  <si>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</si>
  <si>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</si>
  <si>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</si>
  <si>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</si>
  <si>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</si>
  <si>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</si>
  <si>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</si>
  <si>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</si>
  <si>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</si>
  <si>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</si>
  <si>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</si>
  <si>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</si>
  <si>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</si>
  <si>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</si>
  <si>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</si>
  <si>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</si>
  <si>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</si>
  <si>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</si>
  <si>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</si>
  <si>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</si>
  <si>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</si>
  <si>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</si>
  <si>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</si>
  <si>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</si>
  <si>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</si>
  <si>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</si>
  <si>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</si>
  <si>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</si>
  <si>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</si>
  <si>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</si>
  <si>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</si>
  <si>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</si>
  <si>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</si>
  <si>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</si>
  <si>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</si>
  <si>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</si>
  <si>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</si>
  <si>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</si>
  <si>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</si>
  <si>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</si>
  <si>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</si>
  <si>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</si>
  <si>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</si>
  <si>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</si>
  <si>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</si>
  <si>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</si>
  <si>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</si>
  <si>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</si>
  <si>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</si>
  <si>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</si>
  <si>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</si>
  <si>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</si>
  <si>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</si>
  <si>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</si>
  <si>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</si>
  <si>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</si>
  <si>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</si>
  <si>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</si>
  <si>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</si>
  <si>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</si>
  <si>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</si>
  <si>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</si>
  <si>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</si>
  <si>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</si>
  <si>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</si>
  <si>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</si>
  <si>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</si>
  <si>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</si>
  <si>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</si>
  <si>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</si>
  <si>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</si>
  <si>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</si>
  <si>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</si>
  <si>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</si>
  <si>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</si>
  <si>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</si>
  <si>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</si>
  <si>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</si>
  <si>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</si>
  <si>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</si>
  <si>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</si>
  <si>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</si>
  <si>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</si>
  <si>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</si>
  <si>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</si>
  <si>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</si>
  <si>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</si>
  <si>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</si>
  <si>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</si>
  <si>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</si>
  <si>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</si>
  <si>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</si>
  <si>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</si>
  <si>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</si>
  <si>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</si>
  <si>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</si>
  <si>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</si>
  <si>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</si>
  <si>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</si>
  <si>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</si>
  <si>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</si>
  <si>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</si>
  <si>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</si>
  <si>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</si>
  <si>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</si>
  <si>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</si>
  <si>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</si>
  <si>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</si>
  <si>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</si>
  <si>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</si>
  <si>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</si>
  <si>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</si>
  <si>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</si>
  <si>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</si>
  <si>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</si>
  <si>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</si>
  <si>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</si>
  <si>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</si>
  <si>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</si>
  <si>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</si>
  <si>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</si>
  <si>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</si>
  <si>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</si>
  <si>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</si>
  <si>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</si>
  <si>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</si>
  <si>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</si>
  <si>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</si>
  <si>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</si>
  <si>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</si>
  <si>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</si>
  <si>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</si>
  <si>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</si>
  <si>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</si>
  <si>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</si>
  <si>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</si>
  <si>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</si>
  <si>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</si>
  <si>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</si>
  <si>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</si>
  <si>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</si>
  <si>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</si>
  <si>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</si>
  <si>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</si>
  <si>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</si>
  <si>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</si>
  <si>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</si>
  <si>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</si>
  <si>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</si>
  <si>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</si>
  <si>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</si>
  <si>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</si>
  <si>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</si>
  <si>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</si>
  <si>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</si>
  <si>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</si>
  <si>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</si>
  <si>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</si>
  <si>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</si>
  <si>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</si>
  <si>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</si>
  <si>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</si>
  <si>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</si>
  <si>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</si>
  <si>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</si>
  <si>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</si>
  <si>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</si>
  <si>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</si>
  <si>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</si>
  <si>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</si>
  <si>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</si>
  <si>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</si>
  <si>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</si>
  <si>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</si>
  <si>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</si>
  <si>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</si>
  <si>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</si>
  <si>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</si>
  <si>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</si>
  <si>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</si>
  <si>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</si>
  <si>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</si>
  <si>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</si>
  <si>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</si>
  <si>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</si>
  <si>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</si>
  <si>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</si>
  <si>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</si>
  <si>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</si>
  <si>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</si>
  <si>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</si>
  <si>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</si>
  <si>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</si>
  <si>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</si>
  <si>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</si>
  <si>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</si>
  <si>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</si>
  <si>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</si>
  <si>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</si>
  <si>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</si>
  <si>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</si>
  <si>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</si>
  <si>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</si>
  <si>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</si>
  <si>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</si>
  <si>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</si>
  <si>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</si>
  <si>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</si>
  <si>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</si>
  <si>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</si>
  <si>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</si>
  <si>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</si>
  <si>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</si>
  <si>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</si>
  <si>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</si>
  <si>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</si>
  <si>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</si>
  <si>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</si>
  <si>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</si>
  <si>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</si>
  <si>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</si>
  <si>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</si>
  <si>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</si>
  <si>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</si>
  <si>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</si>
  <si>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</si>
  <si>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</si>
  <si>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</si>
  <si>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</si>
  <si>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</si>
  <si>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</si>
  <si>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</si>
  <si>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</si>
  <si>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</si>
  <si>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</si>
  <si>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</si>
  <si>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</si>
  <si>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</si>
  <si>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</si>
  <si>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</si>
  <si>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</si>
  <si>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</si>
  <si>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</si>
  <si>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</si>
  <si>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</si>
  <si>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</si>
  <si>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</si>
  <si>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</si>
  <si>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</si>
  <si>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</si>
  <si>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</si>
  <si>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</si>
  <si>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</si>
  <si>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</si>
  <si>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</si>
  <si>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</si>
  <si>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</si>
  <si>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</si>
  <si>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</si>
  <si>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</si>
  <si>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</si>
  <si>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</si>
  <si>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</si>
  <si>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</si>
  <si>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</si>
  <si>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</si>
  <si>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</si>
  <si>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</si>
  <si>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</si>
  <si>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</si>
  <si>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</si>
  <si>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</si>
  <si>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</si>
  <si>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</si>
  <si>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</si>
  <si>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</si>
  <si>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</si>
  <si>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</si>
  <si>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</si>
  <si>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</si>
  <si>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</si>
  <si>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</si>
  <si>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</si>
  <si>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</si>
  <si>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</si>
  <si>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</si>
  <si>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</si>
  <si>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</si>
  <si>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</si>
  <si>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</si>
  <si>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</si>
  <si>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</si>
  <si>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</si>
  <si>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</si>
  <si>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</si>
  <si>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</si>
  <si>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</si>
  <si>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</si>
  <si>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</si>
  <si>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</si>
  <si>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</si>
  <si>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</si>
  <si>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</si>
  <si>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</si>
  <si>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</si>
  <si>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</si>
  <si>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</si>
  <si>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</si>
  <si>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</si>
  <si>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</si>
  <si>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</si>
  <si>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</si>
  <si>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</si>
  <si>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</si>
  <si>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</si>
  <si>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</si>
  <si>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</si>
  <si>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</si>
  <si>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</si>
  <si>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</si>
  <si>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</si>
  <si>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</si>
  <si>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</si>
  <si>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</si>
  <si>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</si>
  <si>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</si>
  <si>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</si>
  <si>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</si>
  <si>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</si>
  <si>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</si>
  <si>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</si>
  <si>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</si>
  <si>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</si>
  <si>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</si>
  <si>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</si>
  <si>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</si>
  <si>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</si>
  <si>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</si>
  <si>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</si>
  <si>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</si>
  <si>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</si>
  <si>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</si>
  <si>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</si>
  <si>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</si>
  <si>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</si>
  <si>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</si>
  <si>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</si>
  <si>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</si>
  <si>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</si>
  <si>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</si>
  <si>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</si>
  <si>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</si>
  <si>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</si>
  <si>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</si>
  <si>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</si>
  <si>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</si>
  <si>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</si>
  <si>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</si>
  <si>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</si>
  <si>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</si>
  <si>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</si>
  <si>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</si>
  <si>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</si>
  <si>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</si>
  <si>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</si>
  <si>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</si>
  <si>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</si>
  <si>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</si>
  <si>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</si>
  <si>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</si>
  <si>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</si>
  <si>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</si>
  <si>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</si>
  <si>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</si>
  <si>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</si>
  <si>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</si>
  <si>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</si>
  <si>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</si>
  <si>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</si>
  <si>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</si>
  <si>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</si>
  <si>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</si>
  <si>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</si>
  <si>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</si>
  <si>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</si>
  <si>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</si>
  <si>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</si>
  <si>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</si>
  <si>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</si>
  <si>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</si>
  <si>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</si>
  <si>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</si>
  <si>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</si>
  <si>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</si>
  <si>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</si>
  <si>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</si>
  <si>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</si>
  <si>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</si>
  <si>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</si>
  <si>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</si>
  <si>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</si>
  <si>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</si>
  <si>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</si>
  <si>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</si>
  <si>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</si>
  <si>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</si>
  <si>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</si>
  <si>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</si>
  <si>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</si>
  <si>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</si>
  <si>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</si>
  <si>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</si>
  <si>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</si>
  <si>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</si>
  <si>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</si>
  <si>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</si>
  <si>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</si>
  <si>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</si>
  <si>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</si>
  <si>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</si>
  <si>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</si>
  <si>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</si>
  <si>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</si>
  <si>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</si>
  <si>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</si>
  <si>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</si>
  <si>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</si>
  <si>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</si>
  <si>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</si>
  <si>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</si>
  <si>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</si>
  <si>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</si>
  <si>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</si>
  <si>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</si>
  <si>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</si>
  <si>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</si>
  <si>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</si>
  <si>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</si>
  <si>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</si>
  <si>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</si>
  <si>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</si>
  <si>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</si>
  <si>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</si>
  <si>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</si>
  <si>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</si>
  <si>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</si>
  <si>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</si>
  <si>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</si>
  <si>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</si>
  <si>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</si>
  <si>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</si>
  <si>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</si>
  <si>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</si>
  <si>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</si>
  <si>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</si>
  <si>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</si>
  <si>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</si>
  <si>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</si>
  <si>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</si>
  <si>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</si>
  <si>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</si>
  <si>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</si>
  <si>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</si>
  <si>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</si>
  <si>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</si>
  <si>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</si>
  <si>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</si>
  <si>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</si>
  <si>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</si>
  <si>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</si>
  <si>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</si>
  <si>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</si>
  <si>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</si>
  <si>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</si>
  <si>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</si>
  <si>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</si>
  <si>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</si>
  <si>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</si>
  <si>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</si>
  <si>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</si>
  <si>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</si>
  <si>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</si>
  <si>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</si>
  <si>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</si>
  <si>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</si>
  <si>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</si>
  <si>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</si>
  <si>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</si>
  <si>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</si>
  <si>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</si>
  <si>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</si>
  <si>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</si>
  <si>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</si>
  <si>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</si>
  <si>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</si>
  <si>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</si>
  <si>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</si>
  <si>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</si>
  <si>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</si>
  <si>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</si>
  <si>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</si>
  <si>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</si>
  <si>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</si>
  <si>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</si>
  <si>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</si>
  <si>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</si>
  <si>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</si>
  <si>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</si>
  <si>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</si>
  <si>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</si>
  <si>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</si>
  <si>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</si>
  <si>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</si>
  <si>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</si>
  <si>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</si>
  <si>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</si>
  <si>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</si>
  <si>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</si>
  <si>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</si>
  <si>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</si>
  <si>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</si>
  <si>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</si>
  <si>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</si>
  <si>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</si>
  <si>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</si>
  <si>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</si>
  <si>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</si>
  <si>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</si>
  <si>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</si>
  <si>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</si>
  <si>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</si>
  <si>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</si>
  <si>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</si>
  <si>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</si>
  <si>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</si>
  <si>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</si>
  <si>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</si>
  <si>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</si>
  <si>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</si>
  <si>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</si>
  <si>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</si>
  <si>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</si>
  <si>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</si>
  <si>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</si>
  <si>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</si>
  <si>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</si>
  <si>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</si>
  <si>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</si>
  <si>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</si>
  <si>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</si>
  <si>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</si>
  <si>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</si>
  <si>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</si>
  <si>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</si>
  <si>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</si>
  <si>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</si>
  <si>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</si>
  <si>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</si>
  <si>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</si>
  <si>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</si>
  <si>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</si>
  <si>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</si>
  <si>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</si>
  <si>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</si>
  <si>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</si>
  <si>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</si>
  <si>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</si>
  <si>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</si>
  <si>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</si>
  <si>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</si>
  <si>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</si>
  <si>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</si>
  <si>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</si>
  <si>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</si>
  <si>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</si>
  <si>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</si>
  <si>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</si>
  <si>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</si>
  <si>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</si>
  <si>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</si>
  <si>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</si>
  <si>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</si>
  <si>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</si>
  <si>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</si>
  <si>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</si>
  <si>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</si>
  <si>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</si>
  <si>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</si>
  <si>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</si>
  <si>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</si>
  <si>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</si>
  <si>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</si>
  <si>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</si>
  <si>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</si>
  <si>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</si>
  <si>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</si>
  <si>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</si>
  <si>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</si>
  <si>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</si>
  <si>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</si>
  <si>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</si>
  <si>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</si>
  <si>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</si>
  <si>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</si>
  <si>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</si>
  <si>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</si>
  <si>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</si>
  <si>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</si>
  <si>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</si>
  <si>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</si>
  <si>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</si>
  <si>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</si>
  <si>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</si>
  <si>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</si>
  <si>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</si>
  <si>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</si>
  <si>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</si>
  <si>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</si>
  <si>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</si>
  <si>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</si>
  <si>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</si>
  <si>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</si>
  <si>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</si>
  <si>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</si>
  <si>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</si>
  <si>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</si>
  <si>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</si>
  <si>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</si>
  <si>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</si>
  <si>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</si>
  <si>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</si>
  <si>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</si>
  <si>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</si>
  <si>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</si>
  <si>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</si>
  <si>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</si>
  <si>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</si>
  <si>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</si>
  <si>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</si>
  <si>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</si>
  <si>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</si>
  <si>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</si>
  <si>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</si>
  <si>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</si>
  <si>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</si>
  <si>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</si>
  <si>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</si>
  <si>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</si>
  <si>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</si>
  <si>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</si>
  <si>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</si>
  <si>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</si>
  <si>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</si>
  <si>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</si>
  <si>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</si>
  <si>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</si>
  <si>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</si>
  <si>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</si>
  <si>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</si>
  <si>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</si>
  <si>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</si>
  <si>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</si>
  <si>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</si>
  <si>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</si>
  <si>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</si>
  <si>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</si>
  <si>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</si>
  <si>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</si>
  <si>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</si>
  <si>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</si>
  <si>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</si>
  <si>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</si>
  <si>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</si>
  <si>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</si>
  <si>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</si>
  <si>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</si>
  <si>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</si>
  <si>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</si>
  <si>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</si>
  <si>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</si>
  <si>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</si>
  <si>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</si>
  <si>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</si>
  <si>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</si>
  <si>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</si>
  <si>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</si>
  <si>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</si>
  <si>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</si>
  <si>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</si>
  <si>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</si>
  <si>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</si>
  <si>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</si>
  <si>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</si>
  <si>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</si>
  <si>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</si>
  <si>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</si>
  <si>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</si>
  <si>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</si>
  <si>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</si>
  <si>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</si>
  <si>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</si>
  <si>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</si>
  <si>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</si>
  <si>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</si>
  <si>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</si>
  <si>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</si>
  <si>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</si>
  <si>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</si>
  <si>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</si>
  <si>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</si>
  <si>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</si>
  <si>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</si>
  <si>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</si>
  <si>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</si>
  <si>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</si>
  <si>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</si>
  <si>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</si>
  <si>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</si>
  <si>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</si>
  <si>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</si>
  <si>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</si>
  <si>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</si>
  <si>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</si>
  <si>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</si>
  <si>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</si>
  <si>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</si>
  <si>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</si>
  <si>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</si>
  <si>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</si>
  <si>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</si>
  <si>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</si>
  <si>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</si>
  <si>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</si>
  <si>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</si>
  <si>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</si>
  <si>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</si>
  <si>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</si>
  <si>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</si>
  <si>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</si>
  <si>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</si>
  <si>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</si>
  <si>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</si>
  <si>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</si>
  <si>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</si>
  <si>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</si>
  <si>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</si>
  <si>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</si>
  <si>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</si>
  <si>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</si>
  <si>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</si>
  <si>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</si>
  <si>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</si>
  <si>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</si>
  <si>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</si>
  <si>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</si>
  <si>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</si>
  <si>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</si>
  <si>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</si>
  <si>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</si>
  <si>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</si>
  <si>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</si>
  <si>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</si>
  <si>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</si>
  <si>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</si>
  <si>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</si>
  <si>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</si>
  <si>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</si>
  <si>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</si>
  <si>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</si>
  <si>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</si>
  <si>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</si>
  <si>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</si>
  <si>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</si>
  <si>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</si>
  <si>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</si>
  <si>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</si>
  <si>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</si>
  <si>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</si>
  <si>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</si>
  <si>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</si>
  <si>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</si>
  <si>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</si>
  <si>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</si>
  <si>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</si>
  <si>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</si>
  <si>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</si>
  <si>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</si>
  <si>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</si>
  <si>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</si>
  <si>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</si>
  <si>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</si>
  <si>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</si>
  <si>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</si>
  <si>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</si>
  <si>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</si>
  <si>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</si>
  <si>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</si>
  <si>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</si>
  <si>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</si>
  <si>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</si>
  <si>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</si>
  <si>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</si>
  <si>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</si>
  <si>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</si>
  <si>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</si>
  <si>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</si>
  <si>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</si>
  <si>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</si>
  <si>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</si>
  <si>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</si>
  <si>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</si>
  <si>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</si>
  <si>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</si>
  <si>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</si>
  <si>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</si>
  <si>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</si>
  <si>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</si>
  <si>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</si>
  <si>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</si>
  <si>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</si>
  <si>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</si>
  <si>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</si>
  <si>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</si>
  <si>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</si>
  <si>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</si>
  <si>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</si>
  <si>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</si>
  <si>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</si>
  <si>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</si>
  <si>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</si>
  <si>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</si>
  <si>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</si>
  <si>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</si>
  <si>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</si>
  <si>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</si>
  <si>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</si>
  <si>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</si>
  <si>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</si>
  <si>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</si>
  <si>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</si>
  <si>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</si>
  <si>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</si>
  <si>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</si>
  <si>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</si>
  <si>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</si>
  <si>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</si>
  <si>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</si>
  <si>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</si>
  <si>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</si>
  <si>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</si>
  <si>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</si>
  <si>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</si>
  <si>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</si>
  <si>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</si>
  <si>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</si>
  <si>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</si>
  <si>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</si>
  <si>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</si>
  <si>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</si>
  <si>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</si>
  <si>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</si>
  <si>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</si>
  <si>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</si>
  <si>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</si>
  <si>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</si>
  <si>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</si>
  <si>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</si>
  <si>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</si>
  <si>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</si>
  <si>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</si>
  <si>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</si>
  <si>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</si>
  <si>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</si>
  <si>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</si>
  <si>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</si>
  <si>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</si>
  <si>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</si>
  <si>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</si>
  <si>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</si>
  <si>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</si>
  <si>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</si>
  <si>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</si>
  <si>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</si>
  <si>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</si>
  <si>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</si>
  <si>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</si>
  <si>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</si>
  <si>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</si>
  <si>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</si>
  <si>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</si>
  <si>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</si>
  <si>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</si>
  <si>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</si>
  <si>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</si>
  <si>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</si>
  <si>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</si>
  <si>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</si>
  <si>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</si>
  <si>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</si>
  <si>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</si>
  <si>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</si>
  <si>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</si>
  <si>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</si>
  <si>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</si>
  <si>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</si>
  <si>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</si>
  <si>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</si>
  <si>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</si>
  <si>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</si>
  <si>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</si>
  <si>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</si>
  <si>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</si>
  <si>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</si>
  <si>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</si>
  <si>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</si>
  <si>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</si>
  <si>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</si>
  <si>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</si>
  <si>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</si>
  <si>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</si>
  <si>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</si>
  <si>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</si>
  <si>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</si>
  <si>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</si>
  <si>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</si>
  <si>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</si>
  <si>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</si>
  <si>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</si>
  <si>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</si>
  <si>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</si>
  <si>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</si>
  <si>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</si>
  <si>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</si>
  <si>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</si>
  <si>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</si>
  <si>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</si>
  <si>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</si>
  <si>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</si>
  <si>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</si>
  <si>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</si>
  <si>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</si>
  <si>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</si>
  <si>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</si>
  <si>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</si>
  <si>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</si>
  <si>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</si>
  <si>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</si>
  <si>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</si>
  <si>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</si>
  <si>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</si>
  <si>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</si>
  <si>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</si>
  <si>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</si>
  <si>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</si>
  <si>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</si>
  <si>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</si>
  <si>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</si>
  <si>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</si>
  <si>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</si>
  <si>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</si>
  <si>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</si>
  <si>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</si>
  <si>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</si>
  <si>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</si>
  <si>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</si>
  <si>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</si>
  <si>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</si>
  <si>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</si>
  <si>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</si>
  <si>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</si>
  <si>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</si>
  <si>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</si>
  <si>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</si>
  <si>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</si>
  <si>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</si>
  <si>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</si>
  <si>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</si>
  <si>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</si>
  <si>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</si>
  <si>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</si>
  <si>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</si>
  <si>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</si>
  <si>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</si>
  <si>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</si>
  <si>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</si>
  <si>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</si>
  <si>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</si>
  <si>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</si>
  <si>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</si>
  <si>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</si>
  <si>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</si>
  <si>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</si>
  <si>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</si>
  <si>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</si>
  <si>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</si>
  <si>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</si>
  <si>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</si>
  <si>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</si>
  <si>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</si>
  <si>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</si>
  <si>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</si>
  <si>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</si>
  <si>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</si>
  <si>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</si>
  <si>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</si>
  <si>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</si>
  <si>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</si>
  <si>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</si>
  <si>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</si>
  <si>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</si>
  <si>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</si>
  <si>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</si>
  <si>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</si>
  <si>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</si>
  <si>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</si>
  <si>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</si>
  <si>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</si>
  <si>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</si>
  <si>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</si>
  <si>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</si>
  <si>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</si>
  <si>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</si>
  <si>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</si>
  <si>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</si>
  <si>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</si>
  <si>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</si>
  <si>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</si>
  <si>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</si>
  <si>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</si>
  <si>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</si>
  <si>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</si>
  <si>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</si>
  <si>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</si>
  <si>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</si>
  <si>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</si>
  <si>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</si>
  <si>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</si>
  <si>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</si>
  <si>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</si>
  <si>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</si>
  <si>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</si>
  <si>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</si>
  <si>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</si>
  <si>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</si>
  <si>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</si>
  <si>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</si>
  <si>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</si>
  <si>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</si>
  <si>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</si>
  <si>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</si>
  <si>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</si>
  <si>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</si>
  <si>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</si>
  <si>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</si>
  <si>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</si>
  <si>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</si>
  <si>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</si>
  <si>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</si>
  <si>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</si>
  <si>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</si>
  <si>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</si>
  <si>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</si>
  <si>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</si>
  <si>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</si>
  <si>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</si>
  <si>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</si>
  <si>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</si>
  <si>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</si>
  <si>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</si>
  <si>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</si>
  <si>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</si>
  <si>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</si>
  <si>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</si>
  <si>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</si>
  <si>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</si>
  <si>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</si>
  <si>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</si>
  <si>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</si>
  <si>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</si>
  <si>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</si>
  <si>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</si>
  <si>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</si>
  <si>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</si>
  <si>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</si>
  <si>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</si>
  <si>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</si>
  <si>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</si>
  <si>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</si>
  <si>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</si>
  <si>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</si>
  <si>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</si>
  <si>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</si>
  <si>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</si>
  <si>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</si>
  <si>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</si>
  <si>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</si>
  <si>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</si>
  <si>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</si>
  <si>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</si>
  <si>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</si>
  <si>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</si>
  <si>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</si>
  <si>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</si>
  <si>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</si>
  <si>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</si>
  <si>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</si>
  <si>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</si>
  <si>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</si>
  <si>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</si>
  <si>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</si>
  <si>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</si>
  <si>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</si>
  <si>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</si>
  <si>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</si>
  <si>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</si>
  <si>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</si>
  <si>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</si>
  <si>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</si>
  <si>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</si>
  <si>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</si>
  <si>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</si>
  <si>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</si>
  <si>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</si>
  <si>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</si>
  <si>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</si>
  <si>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</si>
  <si>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</si>
  <si>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</si>
  <si>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</si>
  <si>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</si>
  <si>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</si>
  <si>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</si>
  <si>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</si>
  <si>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</si>
  <si>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</si>
  <si>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</si>
  <si>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</si>
  <si>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</si>
  <si>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</si>
  <si>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</si>
  <si>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</si>
  <si>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</si>
  <si>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</si>
  <si>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</si>
  <si>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</si>
  <si>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</si>
  <si>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</si>
  <si>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</si>
  <si>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</si>
  <si>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</si>
  <si>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</si>
  <si>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</si>
  <si>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</si>
  <si>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</si>
  <si>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</si>
  <si>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</si>
  <si>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</si>
  <si>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</si>
  <si>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</si>
  <si>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</si>
  <si>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</si>
  <si>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</si>
  <si>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</si>
  <si>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</si>
  <si>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</si>
  <si>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</si>
  <si>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</si>
  <si>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</si>
  <si>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</si>
  <si>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</si>
  <si>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</si>
  <si>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</si>
  <si>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</si>
  <si>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</si>
  <si>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</si>
  <si>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</si>
  <si>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</si>
  <si>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</si>
  <si>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</si>
  <si>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</si>
  <si>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</si>
  <si>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</si>
  <si>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</si>
  <si>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</si>
  <si>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</si>
  <si>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</si>
  <si>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</si>
  <si>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</si>
  <si>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</si>
  <si>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</si>
  <si>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</si>
  <si>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</si>
  <si>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</si>
  <si>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</si>
  <si>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</si>
  <si>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</si>
  <si>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</si>
  <si>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</si>
  <si>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</si>
  <si>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</si>
  <si>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</si>
  <si>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</si>
  <si>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</si>
  <si>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</si>
  <si>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</si>
  <si>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</si>
  <si>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</si>
  <si>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</si>
  <si>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</si>
  <si>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</si>
  <si>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</si>
  <si>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</si>
  <si>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</si>
  <si>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</si>
  <si>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</si>
  <si>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</si>
  <si>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</si>
  <si>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</si>
  <si>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</si>
  <si>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</si>
  <si>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</si>
  <si>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</si>
  <si>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</si>
  <si>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</si>
  <si>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</si>
  <si>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</si>
  <si>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</si>
  <si>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</si>
  <si>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</si>
  <si>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</si>
  <si>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</si>
  <si>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</si>
  <si>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</si>
  <si>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</si>
  <si>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</si>
  <si>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</si>
  <si>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</si>
  <si>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</si>
  <si>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</si>
  <si>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</si>
  <si>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</si>
  <si>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</si>
  <si>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</si>
  <si>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</si>
  <si>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</si>
  <si>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</si>
  <si>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</si>
  <si>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</si>
  <si>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</si>
  <si>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</si>
  <si>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</si>
  <si>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</si>
  <si>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</si>
  <si>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</si>
  <si>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</si>
  <si>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</si>
  <si>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</si>
  <si>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</si>
  <si>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</si>
  <si>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</si>
  <si>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</si>
  <si>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</si>
  <si>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</si>
  <si>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</si>
  <si>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</si>
  <si>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</si>
  <si>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</si>
  <si>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</si>
  <si>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</si>
  <si>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</si>
  <si>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</si>
  <si>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</si>
  <si>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</si>
  <si>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</si>
  <si>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</si>
  <si>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</si>
  <si>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</si>
  <si>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</si>
  <si>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</si>
  <si>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</si>
  <si>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</si>
  <si>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</si>
  <si>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</si>
  <si>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</si>
  <si>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</si>
  <si>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</si>
  <si>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</si>
  <si>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</si>
  <si>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</si>
  <si>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</si>
  <si>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</si>
  <si>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</si>
  <si>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</si>
  <si>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</si>
  <si>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</si>
  <si>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</si>
  <si>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</si>
  <si>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</si>
  <si>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</si>
  <si>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</si>
  <si>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</si>
  <si>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</si>
  <si>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</si>
  <si>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</si>
  <si>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</si>
  <si>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</si>
  <si>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</si>
  <si>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</si>
  <si>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</si>
  <si>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</si>
  <si>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</si>
  <si>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</si>
  <si>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</si>
  <si>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</si>
  <si>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</si>
  <si>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</si>
  <si>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</si>
  <si>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</si>
  <si>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</si>
  <si>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</si>
  <si>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</si>
  <si>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</si>
  <si>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</si>
  <si>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</si>
  <si>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</si>
  <si>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</si>
  <si>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</si>
  <si>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</si>
  <si>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</si>
  <si>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</si>
  <si>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</si>
  <si>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</si>
  <si>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</si>
  <si>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</si>
  <si>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</si>
  <si>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</si>
  <si>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</si>
  <si>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</si>
  <si>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</si>
  <si>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</si>
  <si>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</si>
  <si>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</si>
  <si>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</si>
  <si>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</si>
  <si>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</si>
  <si>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</si>
  <si>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</si>
  <si>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</si>
  <si>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</si>
  <si>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</si>
  <si>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</si>
  <si>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</si>
  <si>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</si>
  <si>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</si>
  <si>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</si>
  <si>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</si>
  <si>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</si>
  <si>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</si>
  <si>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</si>
  <si>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</si>
  <si>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</si>
  <si>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</si>
  <si>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</si>
  <si>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</si>
  <si>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</si>
  <si>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</si>
  <si>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</si>
  <si>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</si>
  <si>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</si>
  <si>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</si>
  <si>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</si>
  <si>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</si>
  <si>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</si>
  <si>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</si>
  <si>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</si>
  <si>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</si>
  <si>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</si>
  <si>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</si>
  <si>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</si>
  <si>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</si>
  <si>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</si>
  <si>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</si>
  <si>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</si>
  <si>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</si>
  <si>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</si>
  <si>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</si>
  <si>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</si>
  <si>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</si>
  <si>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</si>
  <si>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</si>
  <si>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</si>
  <si>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</si>
  <si>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</si>
  <si>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</si>
  <si>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</si>
  <si>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</si>
  <si>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</si>
  <si>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</si>
  <si>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</si>
  <si>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</si>
  <si>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</si>
  <si>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</si>
  <si>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</si>
  <si>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</si>
  <si>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</si>
  <si>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</si>
  <si>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</si>
  <si>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</si>
  <si>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</si>
  <si>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</si>
  <si>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</si>
  <si>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</si>
  <si>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</si>
  <si>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</si>
  <si>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</si>
  <si>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</si>
  <si>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</si>
  <si>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</si>
  <si>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</si>
  <si>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</si>
  <si>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</si>
  <si>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</si>
  <si>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</si>
  <si>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</si>
  <si>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</si>
  <si>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</si>
  <si>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</si>
  <si>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</si>
  <si>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</si>
  <si>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</si>
  <si>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</si>
  <si>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</si>
  <si>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</si>
  <si>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</si>
  <si>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</si>
  <si>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</si>
  <si>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</si>
  <si>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</si>
  <si>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</si>
  <si>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</si>
  <si>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</si>
  <si>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</si>
  <si>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</si>
  <si>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</si>
  <si>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</si>
  <si>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</si>
  <si>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</si>
  <si>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</si>
  <si>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</si>
  <si>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</si>
  <si>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</si>
  <si>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</si>
  <si>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</si>
  <si>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</si>
  <si>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</si>
  <si>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</si>
  <si>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</si>
  <si>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</si>
  <si>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</si>
  <si>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</si>
  <si>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</si>
  <si>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</si>
  <si>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</si>
  <si>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</si>
  <si>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</si>
  <si>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</si>
  <si>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</si>
  <si>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</si>
  <si>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</si>
  <si>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</si>
  <si>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</si>
  <si>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</si>
  <si>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</si>
  <si>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</si>
  <si>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</si>
  <si>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</si>
  <si>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</si>
  <si>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</si>
  <si>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</si>
  <si>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</si>
  <si>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</si>
  <si>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</si>
  <si>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</si>
  <si>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</si>
  <si>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</si>
  <si>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</si>
  <si>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</si>
  <si>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</si>
  <si>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</si>
  <si>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</si>
  <si>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</si>
  <si>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</si>
  <si>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</si>
  <si>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</si>
  <si>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</si>
  <si>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</si>
  <si>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</si>
  <si>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</si>
  <si>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</si>
  <si>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</si>
  <si>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</si>
  <si>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</si>
  <si>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</si>
  <si>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</si>
  <si>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</si>
  <si>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</si>
  <si>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</si>
  <si>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</si>
  <si>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</si>
  <si>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</si>
  <si>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</si>
  <si>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</si>
  <si>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</si>
  <si>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</si>
  <si>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</si>
  <si>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</si>
  <si>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</si>
  <si>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</si>
  <si>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</si>
  <si>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</si>
  <si>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</si>
  <si>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</si>
  <si>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</si>
  <si>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</si>
  <si>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</si>
  <si>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</si>
  <si>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</si>
  <si>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</si>
  <si>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</si>
  <si>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</si>
  <si>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</si>
  <si>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</si>
  <si>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</si>
  <si>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</si>
  <si>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</si>
  <si>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</si>
  <si>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</si>
  <si>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</si>
  <si>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</si>
  <si>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</si>
  <si>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</si>
  <si>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</si>
  <si>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</si>
  <si>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</si>
  <si>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</si>
  <si>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</si>
  <si>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</si>
  <si>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</si>
  <si>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</si>
  <si>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</si>
  <si>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</si>
  <si>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</si>
  <si>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</si>
  <si>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</si>
  <si>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</si>
  <si>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</si>
  <si>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</si>
  <si>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</si>
  <si>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</si>
  <si>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</si>
  <si>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</si>
  <si>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</si>
  <si>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</si>
  <si>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</si>
  <si>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</si>
  <si>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</si>
  <si>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</si>
  <si>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</si>
  <si>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</si>
  <si>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</si>
  <si>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</si>
  <si>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</si>
  <si>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</si>
  <si>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</si>
  <si>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</si>
  <si>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</si>
  <si>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</si>
  <si>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</si>
  <si>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</si>
  <si>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</si>
  <si>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</si>
  <si>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</si>
  <si>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</si>
  <si>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</si>
  <si>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</si>
  <si>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</si>
  <si>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</si>
  <si>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</si>
  <si>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</si>
  <si>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</si>
  <si>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</si>
  <si>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</si>
  <si>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</si>
  <si>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</si>
  <si>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</si>
  <si>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</si>
  <si>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</si>
  <si>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</si>
  <si>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</si>
  <si>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</si>
  <si>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</si>
  <si>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</si>
  <si>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</si>
  <si>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</si>
  <si>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</si>
  <si>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</si>
  <si>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</si>
  <si>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</si>
  <si>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</si>
  <si>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</si>
  <si>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</si>
  <si>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</si>
  <si>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</si>
  <si>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</si>
  <si>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</si>
  <si>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</si>
  <si>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</si>
  <si>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</si>
  <si>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</si>
  <si>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</si>
  <si>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</si>
  <si>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</si>
  <si>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</si>
  <si>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</si>
  <si>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</si>
  <si>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</si>
  <si>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</si>
  <si>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</si>
  <si>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</si>
  <si>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</si>
  <si>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</si>
  <si>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</si>
  <si>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</si>
  <si>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</si>
  <si>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</si>
  <si>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</si>
  <si>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</si>
  <si>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</si>
  <si>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</si>
  <si>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</si>
  <si>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</si>
  <si>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</si>
  <si>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</si>
  <si>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</si>
  <si>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</si>
  <si>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</si>
  <si>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</si>
  <si>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</si>
  <si>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</si>
  <si>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</si>
  <si>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</si>
  <si>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</si>
  <si>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</si>
  <si>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</si>
  <si>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</si>
  <si>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</si>
  <si>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</si>
  <si>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</si>
  <si>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</si>
  <si>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</si>
  <si>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</si>
  <si>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</si>
  <si>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</si>
  <si>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</si>
  <si>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</si>
  <si>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</si>
  <si>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</si>
  <si>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</si>
  <si>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</si>
  <si>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</si>
  <si>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</si>
  <si>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</si>
  <si>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</si>
  <si>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</si>
  <si>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</si>
  <si>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</si>
  <si>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</si>
  <si>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</si>
  <si>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</si>
  <si>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</si>
  <si>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</si>
  <si>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</si>
  <si>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</si>
  <si>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</si>
  <si>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</si>
  <si>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</si>
  <si>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</si>
  <si>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</si>
  <si>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</si>
  <si>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</si>
  <si>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</si>
  <si>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</si>
  <si>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</si>
  <si>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</si>
  <si>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</si>
  <si>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</si>
  <si>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</si>
  <si>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</si>
  <si>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</si>
  <si>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</si>
  <si>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</si>
  <si>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</si>
  <si>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</si>
  <si>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</si>
  <si>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</si>
  <si>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</si>
  <si>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</si>
  <si>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</si>
  <si>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</si>
  <si>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</si>
  <si>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</si>
  <si>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</si>
  <si>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</si>
  <si>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</si>
  <si>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</si>
  <si>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</si>
  <si>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</si>
  <si>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</si>
  <si>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</si>
  <si>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</si>
  <si>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</si>
  <si>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</si>
  <si>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</si>
  <si>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</si>
  <si>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</si>
  <si>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</si>
  <si>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</si>
  <si>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</si>
  <si>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</si>
  <si>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</si>
  <si>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</si>
  <si>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</si>
  <si>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</si>
  <si>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</si>
  <si>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</si>
  <si>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</si>
  <si>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</si>
  <si>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</si>
  <si>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</si>
  <si>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</si>
  <si>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</si>
  <si>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</si>
  <si>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</si>
  <si>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</si>
  <si>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</si>
  <si>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</si>
  <si>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</si>
  <si>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</si>
  <si>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</si>
  <si>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</si>
  <si>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</si>
  <si>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</si>
  <si>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</si>
  <si>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</si>
  <si>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</si>
  <si>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</si>
  <si>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</si>
  <si>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</si>
  <si>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</si>
  <si>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</si>
  <si>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</si>
  <si>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</si>
  <si>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</si>
  <si>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</si>
  <si>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</si>
  <si>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</si>
  <si>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</si>
  <si>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</si>
  <si>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</si>
  <si>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</si>
  <si>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</si>
  <si>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</si>
  <si>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</si>
  <si>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</si>
  <si>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</si>
  <si>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</si>
  <si>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</si>
  <si>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</si>
  <si>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</si>
  <si>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</si>
  <si>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</si>
  <si>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</si>
  <si>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</si>
  <si>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</si>
  <si>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</si>
  <si>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</si>
  <si>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</si>
  <si>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</si>
  <si>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</si>
  <si>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</si>
  <si>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</si>
  <si>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</si>
  <si>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</si>
  <si>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</si>
  <si>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</si>
  <si>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</si>
  <si>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</si>
  <si>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</si>
  <si>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</si>
  <si>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</si>
  <si>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</si>
  <si>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</si>
  <si>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</si>
  <si>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</si>
  <si>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</si>
  <si>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</si>
  <si>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</si>
  <si>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</si>
  <si>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</si>
  <si>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</si>
  <si>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</si>
  <si>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</si>
  <si>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</si>
  <si>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</si>
  <si>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</si>
  <si>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</si>
  <si>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</si>
  <si>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</si>
  <si>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</si>
  <si>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</si>
  <si>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</si>
  <si>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</si>
  <si>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</si>
  <si>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</si>
  <si>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</si>
  <si>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</si>
  <si>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</si>
  <si>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</si>
  <si>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</si>
  <si>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</si>
  <si>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</si>
  <si>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</si>
  <si>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</si>
  <si>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</si>
  <si>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</si>
  <si>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</si>
  <si>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</si>
  <si>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</si>
  <si>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</si>
  <si>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</si>
  <si>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</si>
  <si>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</si>
  <si>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</si>
  <si>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</si>
  <si>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</si>
  <si>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</si>
  <si>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</si>
  <si>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</si>
  <si>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</si>
  <si>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</si>
  <si>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</si>
  <si>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</si>
  <si>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</si>
  <si>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</si>
  <si>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</si>
  <si>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</si>
  <si>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</si>
  <si>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</si>
  <si>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</si>
  <si>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</si>
  <si>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</si>
  <si>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</si>
  <si>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</si>
  <si>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</si>
  <si>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</si>
  <si>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</si>
  <si>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</si>
  <si>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</si>
  <si>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</si>
  <si>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</si>
  <si>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</si>
  <si>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</si>
  <si>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</si>
  <si>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</si>
  <si>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</si>
  <si>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</si>
  <si>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</si>
  <si>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</si>
  <si>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</si>
  <si>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</si>
  <si>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</si>
  <si>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</si>
  <si>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</si>
  <si>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</si>
  <si>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</si>
  <si>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</si>
  <si>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</si>
  <si>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</si>
  <si>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</si>
  <si>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</si>
  <si>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</si>
  <si>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</si>
  <si>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</si>
  <si>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</si>
  <si>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</si>
  <si>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</si>
  <si>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</si>
  <si>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</si>
  <si>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</si>
  <si>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</si>
  <si>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</si>
  <si>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</si>
  <si>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</si>
  <si>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</si>
  <si>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</si>
  <si>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</si>
  <si>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</si>
  <si>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</si>
  <si>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</si>
  <si>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</si>
  <si>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</si>
  <si>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</si>
  <si>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</si>
  <si>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</si>
  <si>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</si>
  <si>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</si>
  <si>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</si>
  <si>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</si>
  <si>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</si>
  <si>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</si>
  <si>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</si>
  <si>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</si>
  <si>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</si>
  <si>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</si>
  <si>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</si>
  <si>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</si>
  <si>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</si>
  <si>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</si>
  <si>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</si>
  <si>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</si>
  <si>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</si>
  <si>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</si>
  <si>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</si>
  <si>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</si>
  <si>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</si>
  <si>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</si>
  <si>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</si>
  <si>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</si>
  <si>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</si>
  <si>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</si>
  <si>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</si>
  <si>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</si>
  <si>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</si>
  <si>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</si>
  <si>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</si>
  <si>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</si>
  <si>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</si>
  <si>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</si>
  <si>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</si>
  <si>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</si>
  <si>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</si>
  <si>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</si>
  <si>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</si>
  <si>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</si>
  <si>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</si>
  <si>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</si>
  <si>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</si>
  <si>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</si>
  <si>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</si>
  <si>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</si>
  <si>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</si>
  <si>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</si>
  <si>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</si>
  <si>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</si>
  <si>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</si>
  <si>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</si>
  <si>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</si>
  <si>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</si>
  <si>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</si>
  <si>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</si>
  <si>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</si>
  <si>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</si>
  <si>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</si>
  <si>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</si>
  <si>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</si>
  <si>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</si>
  <si>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</si>
  <si>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</si>
  <si>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</si>
  <si>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</si>
  <si>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</si>
  <si>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</si>
  <si>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</si>
  <si>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</si>
  <si>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</si>
  <si>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</si>
  <si>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</si>
  <si>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</si>
  <si>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</si>
  <si>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</si>
  <si>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</si>
  <si>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</si>
  <si>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</si>
  <si>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</si>
  <si>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</si>
  <si>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</si>
  <si>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</si>
  <si>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</si>
  <si>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</si>
  <si>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</si>
  <si>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</si>
  <si>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</si>
  <si>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</si>
  <si>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</si>
  <si>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</si>
  <si>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</si>
  <si>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</si>
  <si>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</si>
  <si>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</si>
  <si>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</si>
  <si>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</si>
  <si>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</si>
  <si>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</si>
  <si>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</si>
  <si>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</si>
  <si>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</si>
  <si>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</si>
  <si>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</si>
  <si>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</si>
  <si>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</si>
  <si>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</si>
  <si>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</si>
  <si>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</si>
  <si>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</si>
  <si>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</si>
  <si>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</si>
  <si>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</si>
  <si>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</si>
  <si>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</si>
  <si>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</si>
  <si>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</si>
  <si>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</si>
  <si>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</si>
  <si>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</si>
  <si>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</si>
  <si>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</si>
  <si>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</si>
  <si>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</si>
  <si>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</si>
  <si>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</si>
  <si>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</si>
  <si>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</si>
  <si>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</si>
  <si>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</si>
  <si>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</si>
  <si>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</si>
  <si>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</si>
  <si>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</si>
  <si>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</si>
  <si>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</si>
  <si>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</si>
  <si>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</si>
  <si>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</si>
  <si>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</si>
  <si>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</si>
  <si>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</si>
  <si>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</si>
  <si>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</si>
  <si>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</si>
  <si>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</si>
  <si>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</si>
  <si>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</si>
  <si>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</si>
  <si>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</si>
  <si>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</si>
  <si>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</si>
  <si>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</si>
  <si>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</si>
  <si>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</si>
  <si>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</si>
  <si>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</si>
  <si>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</si>
  <si>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</si>
  <si>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</si>
  <si>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</si>
  <si>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</si>
  <si>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</si>
  <si>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</si>
  <si>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</si>
  <si>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</si>
  <si>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</si>
  <si>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</si>
  <si>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</si>
  <si>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</si>
  <si>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</si>
  <si>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</si>
  <si>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</si>
  <si>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</si>
  <si>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</si>
  <si>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</si>
  <si>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</si>
  <si>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</si>
  <si>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</si>
  <si>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</si>
  <si>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</si>
  <si>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</si>
  <si>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</si>
  <si>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</si>
  <si>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</si>
  <si>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</si>
  <si>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</si>
  <si>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</si>
  <si>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</si>
  <si>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</si>
  <si>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</si>
  <si>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</si>
  <si>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</si>
  <si>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</si>
  <si>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</si>
  <si>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</si>
  <si>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</si>
  <si>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</si>
  <si>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</si>
  <si>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</si>
  <si>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</si>
  <si>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</si>
  <si>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</si>
  <si>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</si>
  <si>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</si>
  <si>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</si>
  <si>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</si>
  <si>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</si>
  <si>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</si>
  <si>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</si>
  <si>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</si>
  <si>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</si>
  <si>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</si>
  <si>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</si>
  <si>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</si>
  <si>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</si>
  <si>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</si>
  <si>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</si>
  <si>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</si>
  <si>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</si>
  <si>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</si>
  <si>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</si>
  <si>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</si>
  <si>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</si>
  <si>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</si>
  <si>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</si>
  <si>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</si>
  <si>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</si>
  <si>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</si>
  <si>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</si>
  <si>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</si>
  <si>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</si>
  <si>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</si>
  <si>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</si>
  <si>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</si>
  <si>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</si>
  <si>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</si>
  <si>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</si>
  <si>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</si>
  <si>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</si>
  <si>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</si>
  <si>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</si>
  <si>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</si>
  <si>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</si>
  <si>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</si>
  <si>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</si>
  <si>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</si>
  <si>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</si>
  <si>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</si>
  <si>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</si>
  <si>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</si>
  <si>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</si>
  <si>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</si>
  <si>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</si>
  <si>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</si>
  <si>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</si>
  <si>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</si>
  <si>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</si>
  <si>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</si>
  <si>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</si>
  <si>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</si>
  <si>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</si>
  <si>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</si>
  <si>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</si>
  <si>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</si>
  <si>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</si>
  <si>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</si>
  <si>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</si>
  <si>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</si>
  <si>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</si>
  <si>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</si>
  <si>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</si>
  <si>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</si>
  <si>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</si>
  <si>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</si>
  <si>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</si>
  <si>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</si>
  <si>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</si>
  <si>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</si>
  <si>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</si>
  <si>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</si>
  <si>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</si>
  <si>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</si>
  <si>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</si>
  <si>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</si>
  <si>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</si>
  <si>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</si>
  <si>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</si>
  <si>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</si>
  <si>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</si>
  <si>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</si>
  <si>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</si>
  <si>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</si>
  <si>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</si>
  <si>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</si>
  <si>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</si>
  <si>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</si>
  <si>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</si>
  <si>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</si>
  <si>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</si>
  <si>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</si>
  <si>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</si>
  <si>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</si>
  <si>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</si>
  <si>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</si>
  <si>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</si>
  <si>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</si>
  <si>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</si>
  <si>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</si>
  <si>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</si>
  <si>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</si>
  <si>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</si>
  <si>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</si>
  <si>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</si>
  <si>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</si>
  <si>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</si>
  <si>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</si>
  <si>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</si>
  <si>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</si>
  <si>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</si>
  <si>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</si>
  <si>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</si>
  <si>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</si>
  <si>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</si>
  <si>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</si>
  <si>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</si>
  <si>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</si>
  <si>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</si>
  <si>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</si>
  <si>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</si>
  <si>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</si>
  <si>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</si>
  <si>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</si>
  <si>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</si>
  <si>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</si>
  <si>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</si>
  <si>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</si>
  <si>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</si>
  <si>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</si>
  <si>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</si>
  <si>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</si>
  <si>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</si>
  <si>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</si>
  <si>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</si>
  <si>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</si>
  <si>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</si>
  <si>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</si>
  <si>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</si>
  <si>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</si>
  <si>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</si>
  <si>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</si>
  <si>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</si>
  <si>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</si>
  <si>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</si>
  <si>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</si>
  <si>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</si>
  <si>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</si>
  <si>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</si>
  <si>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</si>
  <si>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</si>
  <si>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</si>
  <si>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</si>
  <si>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</si>
  <si>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</si>
  <si>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</si>
  <si>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</si>
  <si>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</si>
  <si>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</si>
  <si>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</si>
  <si>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</si>
  <si>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</si>
  <si>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</si>
  <si>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</si>
  <si>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</si>
  <si>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</si>
  <si>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</si>
  <si>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</si>
  <si>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</si>
  <si>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</si>
  <si>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</si>
  <si>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</si>
  <si>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</si>
  <si>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</si>
  <si>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</si>
  <si>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</si>
  <si>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</si>
  <si>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</si>
  <si>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</si>
  <si>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</si>
  <si>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</si>
  <si>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</si>
  <si>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</si>
  <si>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</si>
  <si>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</si>
  <si>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</si>
  <si>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</si>
  <si>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</si>
  <si>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</si>
  <si>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</si>
  <si>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</si>
  <si>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</si>
  <si>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</si>
  <si>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</si>
  <si>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</si>
  <si>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</si>
  <si>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</si>
  <si>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</si>
  <si>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</si>
  <si>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</si>
  <si>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</si>
  <si>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</si>
  <si>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</si>
  <si>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</si>
  <si>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</si>
  <si>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</si>
  <si>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</si>
  <si>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</si>
  <si>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</si>
  <si>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</si>
  <si>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</si>
  <si>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</si>
  <si>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</si>
  <si>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</si>
  <si>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</si>
  <si>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</si>
  <si>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</si>
  <si>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</si>
  <si>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</si>
  <si>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</si>
  <si>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</si>
  <si>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</si>
  <si>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</si>
  <si>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</si>
  <si>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</si>
  <si>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</si>
  <si>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</si>
  <si>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</si>
  <si>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</si>
  <si>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</si>
  <si>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</si>
  <si>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</si>
  <si>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</si>
  <si>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</si>
  <si>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</si>
  <si>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</si>
  <si>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</si>
  <si>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</si>
  <si>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</si>
  <si>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</si>
  <si>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</si>
  <si>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</si>
  <si>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</si>
  <si>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</si>
  <si>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</si>
  <si>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</si>
  <si>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</si>
  <si>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</si>
  <si>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</si>
  <si>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</si>
  <si>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</si>
  <si>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</si>
  <si>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</si>
  <si>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</si>
  <si>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</si>
  <si>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</si>
  <si>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</si>
  <si>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</si>
  <si>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</si>
  <si>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</si>
  <si>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</si>
  <si>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</si>
  <si>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</si>
  <si>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</si>
  <si>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</si>
  <si>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</si>
  <si>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</si>
  <si>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</si>
  <si>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</si>
  <si>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</si>
  <si>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</si>
  <si>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</si>
  <si>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</si>
  <si>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</si>
  <si>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</si>
  <si>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</si>
  <si>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</si>
  <si>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</si>
  <si>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</si>
  <si>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</si>
  <si>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</si>
  <si>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</si>
  <si>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</si>
  <si>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</si>
  <si>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</si>
  <si>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</si>
  <si>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</si>
  <si>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</si>
  <si>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</si>
  <si>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</si>
  <si>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</si>
  <si>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</si>
  <si>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</si>
  <si>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</si>
  <si>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</si>
  <si>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</si>
  <si>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</si>
  <si>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</si>
  <si>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</si>
  <si>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</si>
  <si>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</si>
  <si>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</si>
  <si>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</si>
  <si>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</si>
  <si>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</si>
  <si>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</si>
  <si>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</si>
  <si>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</si>
  <si>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</si>
  <si>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</si>
  <si>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</si>
  <si>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</si>
  <si>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</si>
  <si>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</si>
  <si>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</si>
  <si>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</si>
  <si>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</si>
  <si>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</si>
  <si>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</si>
  <si>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</si>
  <si>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</si>
  <si>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</si>
  <si>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</si>
  <si>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</si>
  <si>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</si>
  <si>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</si>
  <si>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</si>
  <si>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</si>
  <si>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</si>
  <si>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</si>
  <si>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</si>
  <si>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</si>
  <si>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</si>
  <si>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</si>
  <si>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</si>
  <si>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</si>
  <si>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</si>
  <si>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</si>
  <si>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</si>
  <si>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</si>
  <si>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</si>
  <si>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</si>
  <si>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</si>
  <si>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</si>
  <si>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</si>
  <si>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</si>
  <si>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</si>
  <si>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</si>
  <si>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</si>
  <si>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</si>
  <si>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</si>
  <si>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</si>
  <si>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</si>
  <si>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</si>
  <si>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</si>
  <si>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</si>
  <si>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</si>
  <si>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</si>
  <si>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</si>
  <si>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</si>
  <si>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</si>
  <si>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</si>
  <si>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</si>
  <si>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</si>
  <si>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</si>
  <si>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</si>
  <si>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</si>
  <si>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</si>
  <si>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</si>
  <si>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</si>
  <si>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</si>
  <si>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</si>
  <si>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</si>
  <si>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</si>
  <si>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</si>
  <si>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</si>
  <si>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</si>
  <si>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</si>
  <si>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</si>
  <si>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</si>
  <si>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</si>
  <si>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</si>
  <si>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</si>
  <si>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</si>
  <si>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</si>
  <si>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</si>
  <si>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</si>
  <si>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</si>
  <si>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</si>
  <si>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</si>
  <si>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</si>
  <si>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</si>
  <si>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</si>
  <si>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</si>
  <si>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</si>
  <si>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</si>
  <si>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</si>
  <si>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</si>
  <si>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</si>
  <si>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</si>
  <si>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</si>
  <si>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</si>
  <si>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</si>
  <si>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</si>
  <si>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</si>
  <si>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</si>
  <si>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</si>
  <si>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</si>
  <si>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</si>
  <si>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</si>
  <si>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</si>
  <si>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</si>
  <si>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</si>
  <si>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</si>
  <si>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</si>
  <si>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</si>
  <si>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</si>
  <si>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</si>
  <si>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</si>
  <si>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</si>
  <si>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</si>
  <si>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</si>
  <si>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</si>
  <si>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</si>
  <si>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</si>
  <si>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</si>
  <si>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</si>
  <si>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</si>
  <si>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</si>
  <si>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</si>
  <si>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</si>
  <si>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</si>
  <si>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</si>
  <si>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</si>
  <si>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</si>
  <si>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</si>
  <si>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</si>
  <si>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</si>
  <si>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</si>
  <si>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</si>
  <si>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</si>
  <si>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</si>
  <si>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</si>
  <si>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</si>
  <si>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</si>
  <si>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</si>
  <si>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</si>
  <si>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</si>
  <si>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</si>
  <si>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</si>
  <si>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</si>
  <si>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</si>
  <si>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</si>
  <si>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</si>
  <si>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</si>
  <si>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</si>
  <si>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</si>
  <si>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</si>
  <si>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</si>
  <si>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</si>
  <si>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</si>
  <si>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</si>
  <si>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</si>
  <si>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</si>
  <si>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</si>
  <si>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</si>
  <si>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</si>
  <si>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</si>
  <si>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</si>
  <si>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</si>
  <si>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</si>
  <si>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</si>
  <si>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</si>
  <si>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</si>
  <si>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</si>
  <si>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</si>
  <si>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</si>
  <si>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</si>
  <si>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</si>
  <si>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</si>
  <si>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</si>
  <si>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</si>
  <si>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</si>
  <si>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</si>
  <si>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</si>
  <si>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</si>
  <si>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</si>
  <si>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</si>
  <si>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</si>
  <si>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</si>
  <si>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</si>
  <si>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</si>
  <si>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</si>
  <si>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</si>
  <si>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</si>
  <si>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</si>
  <si>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</si>
  <si>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</si>
  <si>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</si>
  <si>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</si>
  <si>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</si>
  <si>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</si>
  <si>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</si>
  <si>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</si>
  <si>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</si>
  <si>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</si>
  <si>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</si>
  <si>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</si>
  <si>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</si>
  <si>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</si>
  <si>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</si>
  <si>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</si>
  <si>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</si>
  <si>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</si>
  <si>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</si>
  <si>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</si>
  <si>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</si>
  <si>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</si>
  <si>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</si>
  <si>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</si>
  <si>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</si>
  <si>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</si>
  <si>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</si>
  <si>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</si>
  <si>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</si>
  <si>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</si>
  <si>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</si>
  <si>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</si>
  <si>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</si>
  <si>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</si>
  <si>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</si>
  <si>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</si>
  <si>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</si>
  <si>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</si>
  <si>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</si>
  <si>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</si>
  <si>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</si>
  <si>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</si>
  <si>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</si>
  <si>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</si>
  <si>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</si>
  <si>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</si>
  <si>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</si>
  <si>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</si>
  <si>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</si>
  <si>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</si>
  <si>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</si>
  <si>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</si>
  <si>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</si>
  <si>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</si>
  <si>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</si>
  <si>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</si>
  <si>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</si>
  <si>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</si>
  <si>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</si>
  <si>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</si>
  <si>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</si>
  <si>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</si>
  <si>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</si>
  <si>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</si>
  <si>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</si>
  <si>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</si>
  <si>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</si>
  <si>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</si>
  <si>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</si>
  <si>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</si>
  <si>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</si>
  <si>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</si>
  <si>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</si>
  <si>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</si>
  <si>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</si>
  <si>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</si>
  <si>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</si>
  <si>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</si>
  <si>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</si>
  <si>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</si>
  <si>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</si>
  <si>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</si>
  <si>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</si>
  <si>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</si>
  <si>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</si>
  <si>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</si>
  <si>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</si>
  <si>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</si>
  <si>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</si>
  <si>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</si>
  <si>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</si>
  <si>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</si>
  <si>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</si>
  <si>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</si>
  <si>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</si>
  <si>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</si>
  <si>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</si>
  <si>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</si>
  <si>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</si>
  <si>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</si>
  <si>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</si>
  <si>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</si>
  <si>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</si>
  <si>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</si>
  <si>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</si>
  <si>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</si>
  <si>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</si>
  <si>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</si>
  <si>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</si>
  <si>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</si>
  <si>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</si>
  <si>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</si>
  <si>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</si>
  <si>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</si>
  <si>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</si>
  <si>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</si>
  <si>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</si>
  <si>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</si>
  <si>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</si>
  <si>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</si>
  <si>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</si>
  <si>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</si>
  <si>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</si>
  <si>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</si>
  <si>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</si>
  <si>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</si>
  <si>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</si>
  <si>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</si>
  <si>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</si>
  <si>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</si>
  <si>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</si>
  <si>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</si>
  <si>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</si>
  <si>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</si>
  <si>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</si>
  <si>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</si>
  <si>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</si>
  <si>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</si>
  <si>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</si>
  <si>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</si>
  <si>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</si>
  <si>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</si>
  <si>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</si>
  <si>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</si>
  <si>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</si>
  <si>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</si>
  <si>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</si>
  <si>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</si>
  <si>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</si>
  <si>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</si>
  <si>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</si>
  <si>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</si>
  <si>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</si>
  <si>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</si>
  <si>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</si>
  <si>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</si>
  <si>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</si>
  <si>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</si>
  <si>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</si>
  <si>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</si>
  <si>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</si>
  <si>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</si>
  <si>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</si>
  <si>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</si>
  <si>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</si>
  <si>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</si>
  <si>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</si>
  <si>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</si>
  <si>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</si>
  <si>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</si>
  <si>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</si>
  <si>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</si>
  <si>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</si>
  <si>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</si>
  <si>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</si>
  <si>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</si>
  <si>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</si>
  <si>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</si>
  <si>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</si>
  <si>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</si>
  <si>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</si>
  <si>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</si>
  <si>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</si>
  <si>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</si>
  <si>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</si>
  <si>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</si>
  <si>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</si>
  <si>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</si>
  <si>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</si>
  <si>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</si>
  <si>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</si>
  <si>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</si>
  <si>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</si>
  <si>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</si>
  <si>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</si>
  <si>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</si>
  <si>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</si>
  <si>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</si>
  <si>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</si>
  <si>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</si>
  <si>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</si>
  <si>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</si>
  <si>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</si>
  <si>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</si>
  <si>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</si>
  <si>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</si>
  <si>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</si>
  <si>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</si>
  <si>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</si>
  <si>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</si>
  <si>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</si>
  <si>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</si>
  <si>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</si>
  <si>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</si>
  <si>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</si>
  <si>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</si>
  <si>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</si>
  <si>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</si>
  <si>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</si>
  <si>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</si>
  <si>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</si>
  <si>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</si>
  <si>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</si>
  <si>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</si>
  <si>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</si>
  <si>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</si>
  <si>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</si>
  <si>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</si>
  <si>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</si>
  <si>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</si>
  <si>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</si>
  <si>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</si>
  <si>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</si>
  <si>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</si>
  <si>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</si>
  <si>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</si>
  <si>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</si>
  <si>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</si>
  <si>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</si>
  <si>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</si>
  <si>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</si>
  <si>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</si>
  <si>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</si>
  <si>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</si>
  <si>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</si>
  <si>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</si>
  <si>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</si>
  <si>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</si>
  <si>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</si>
  <si>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</si>
  <si>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</si>
  <si>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</si>
  <si>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</si>
  <si>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</si>
  <si>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</si>
  <si>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</si>
  <si>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</si>
  <si>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</si>
  <si>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</si>
  <si>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</si>
  <si>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</si>
  <si>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</si>
  <si>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</si>
  <si>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</si>
  <si>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</si>
  <si>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</si>
  <si>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</si>
  <si>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</si>
  <si>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</si>
  <si>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</si>
  <si>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</si>
  <si>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</si>
  <si>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</si>
  <si>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</si>
  <si>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</si>
  <si>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</si>
  <si>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</si>
  <si>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</si>
  <si>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</si>
  <si>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</si>
  <si>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</si>
  <si>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</si>
  <si>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</si>
  <si>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</si>
  <si>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</si>
  <si>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</si>
  <si>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</si>
  <si>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</si>
  <si>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</si>
  <si>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</si>
  <si>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</si>
  <si>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</si>
  <si>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</si>
  <si>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</si>
  <si>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</si>
  <si>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</si>
  <si>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</si>
  <si>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</si>
  <si>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</si>
  <si>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</si>
  <si>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</si>
  <si>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</si>
  <si>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</si>
  <si>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</si>
  <si>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</si>
  <si>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</si>
  <si>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</si>
  <si>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</si>
  <si>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</si>
  <si>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</si>
  <si>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</si>
  <si>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</si>
  <si>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</si>
  <si>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</si>
  <si>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</si>
  <si>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</si>
  <si>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</si>
  <si>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</si>
  <si>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</si>
  <si>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</si>
  <si>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</si>
  <si>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</si>
  <si>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</si>
  <si>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</si>
  <si>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</si>
  <si>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</si>
  <si>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</si>
  <si>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</si>
  <si>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</si>
  <si>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</si>
  <si>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</si>
  <si>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</si>
  <si>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</si>
  <si>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</si>
  <si>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</si>
  <si>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</si>
  <si>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</si>
  <si>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</si>
  <si>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</si>
  <si>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</si>
  <si>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</si>
  <si>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</si>
  <si>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</si>
  <si>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</si>
  <si>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</si>
  <si>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</si>
  <si>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</si>
  <si>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</si>
  <si>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</si>
  <si>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</si>
  <si>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</si>
  <si>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</si>
  <si>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</si>
  <si>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</si>
  <si>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</si>
  <si>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</si>
  <si>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</si>
  <si>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</si>
  <si>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</si>
  <si>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</si>
  <si>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</si>
  <si>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</si>
  <si>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</si>
  <si>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</si>
  <si>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</si>
  <si>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</si>
  <si>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</si>
  <si>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</si>
  <si>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</si>
  <si>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</si>
  <si>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</si>
  <si>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</si>
  <si>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</si>
  <si>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</si>
  <si>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</si>
  <si>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</si>
  <si>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</si>
  <si>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</si>
  <si>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</si>
  <si>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</si>
  <si>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</si>
  <si>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</si>
  <si>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</si>
  <si>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</si>
  <si>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</si>
  <si>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</si>
  <si>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</si>
  <si>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</si>
  <si>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</si>
  <si>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</si>
  <si>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</si>
  <si>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</si>
  <si>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</si>
  <si>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</si>
  <si>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</si>
  <si>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</si>
  <si>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</si>
  <si>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</si>
  <si>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</si>
  <si>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</si>
  <si>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</si>
  <si>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</si>
  <si>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</si>
  <si>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</si>
  <si>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</si>
  <si>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</si>
  <si>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</si>
  <si>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</si>
  <si>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</si>
  <si>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</si>
  <si>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</si>
  <si>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</si>
  <si>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</si>
  <si>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</si>
  <si>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</si>
  <si>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</si>
  <si>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</si>
  <si>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</si>
  <si>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</si>
  <si>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</si>
  <si>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</si>
  <si>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</si>
  <si>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</si>
  <si>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</si>
  <si>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</si>
  <si>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</si>
  <si>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</si>
  <si>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</si>
  <si>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</si>
  <si>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</si>
  <si>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</si>
  <si>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</si>
  <si>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</si>
  <si>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</si>
  <si>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</si>
  <si>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</si>
  <si>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</si>
  <si>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</si>
  <si>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</si>
  <si>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</si>
  <si>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</si>
  <si>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</si>
  <si>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</si>
  <si>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</si>
  <si>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</si>
  <si>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</si>
  <si>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</si>
  <si>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</si>
  <si>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</si>
  <si>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</si>
  <si>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</si>
  <si>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</si>
  <si>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</si>
  <si>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</si>
  <si>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</si>
  <si>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</si>
  <si>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</si>
  <si>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</si>
  <si>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</si>
  <si>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</si>
  <si>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</si>
  <si>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</si>
  <si>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</si>
  <si>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</si>
  <si>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</si>
  <si>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</si>
  <si>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</si>
  <si>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</si>
  <si>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</si>
  <si>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</si>
  <si>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</si>
  <si>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</si>
  <si>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</si>
  <si>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</si>
  <si>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</si>
  <si>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</si>
  <si>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</si>
  <si>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</si>
  <si>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</si>
  <si>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</si>
  <si>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</si>
  <si>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</si>
  <si>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</si>
  <si>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</si>
  <si>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</si>
  <si>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</si>
  <si>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</si>
  <si>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</si>
  <si>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</si>
  <si>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</si>
  <si>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</si>
  <si>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</si>
  <si>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</si>
  <si>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</si>
  <si>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</si>
  <si>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</si>
  <si>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</si>
  <si>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</si>
  <si>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</si>
  <si>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</si>
  <si>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</si>
  <si>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</si>
  <si>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</si>
  <si>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</si>
  <si>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</si>
  <si>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</si>
  <si>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</si>
  <si>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</si>
  <si>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</si>
  <si>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</si>
  <si>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</si>
  <si>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</si>
  <si>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</si>
  <si>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</si>
  <si>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</si>
  <si>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</si>
  <si>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</si>
  <si>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</si>
  <si>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</si>
  <si>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</si>
  <si>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</si>
  <si>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</si>
  <si>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</si>
  <si>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</si>
  <si>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</si>
  <si>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</si>
  <si>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</si>
  <si>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</si>
  <si>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</si>
  <si>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</si>
  <si>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</si>
  <si>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</si>
  <si>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</si>
  <si>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</si>
  <si>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</si>
  <si>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</si>
  <si>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</si>
  <si>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</si>
  <si>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</si>
  <si>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</si>
  <si>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</si>
  <si>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</si>
  <si>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</si>
  <si>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</si>
  <si>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</si>
  <si>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</si>
  <si>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</si>
  <si>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</si>
  <si>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</si>
  <si>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</si>
  <si>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</si>
  <si>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</si>
  <si>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</si>
  <si>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</si>
  <si>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</si>
  <si>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</si>
  <si>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</si>
  <si>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</si>
  <si>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</si>
  <si>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</si>
  <si>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</si>
  <si>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</si>
  <si>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</si>
  <si>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</si>
  <si>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</si>
  <si>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</si>
  <si>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</si>
  <si>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</si>
  <si>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</si>
  <si>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</si>
  <si>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</si>
  <si>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</si>
  <si>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</si>
  <si>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</si>
  <si>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</si>
  <si>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</si>
  <si>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</si>
  <si>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</si>
  <si>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</si>
  <si>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</si>
  <si>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</si>
  <si>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</si>
  <si>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</si>
  <si>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</si>
  <si>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</si>
  <si>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</si>
  <si>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</si>
  <si>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</si>
  <si>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</si>
  <si>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</si>
  <si>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</si>
  <si>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</si>
  <si>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</si>
  <si>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</si>
  <si>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</si>
  <si>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</si>
  <si>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</si>
  <si>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</si>
  <si>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</si>
  <si>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</si>
  <si>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</si>
  <si>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</si>
  <si>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</si>
  <si>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</si>
  <si>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</si>
  <si>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</si>
  <si>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</si>
  <si>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</si>
  <si>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</si>
  <si>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</si>
  <si>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</si>
  <si>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</si>
  <si>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</si>
  <si>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</si>
  <si>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</si>
  <si>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</si>
  <si>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</si>
  <si>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</si>
  <si>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</si>
  <si>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</si>
  <si>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</si>
  <si>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</si>
  <si>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</si>
  <si>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</si>
  <si>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</si>
  <si>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</si>
  <si>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</si>
  <si>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</si>
  <si>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</si>
  <si>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</si>
  <si>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</si>
  <si>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</si>
  <si>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</si>
  <si>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</si>
  <si>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</si>
  <si>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</si>
  <si>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</si>
  <si>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</si>
  <si>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</si>
  <si>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</si>
  <si>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</si>
  <si>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</si>
  <si>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</si>
  <si>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</si>
  <si>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</si>
  <si>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</si>
  <si>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</si>
  <si>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</si>
  <si>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</si>
  <si>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</si>
  <si>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</si>
  <si>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</si>
  <si>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</si>
  <si>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</si>
  <si>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</si>
  <si>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</si>
  <si>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</si>
  <si>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</si>
  <si>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</si>
  <si>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</si>
  <si>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</si>
  <si>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</si>
  <si>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</si>
  <si>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</si>
  <si>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</si>
  <si>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</si>
  <si>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</si>
  <si>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</si>
  <si>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</si>
  <si>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</si>
  <si>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</si>
  <si>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</si>
  <si>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</si>
  <si>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</si>
  <si>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</si>
  <si>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</si>
  <si>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</si>
  <si>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</si>
  <si>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</si>
  <si>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</si>
  <si>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</si>
  <si>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</si>
  <si>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</si>
  <si>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</si>
  <si>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</si>
  <si>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</si>
  <si>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</si>
  <si>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</si>
  <si>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</si>
  <si>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</si>
  <si>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</si>
  <si>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</si>
  <si>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</si>
  <si>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</si>
  <si>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</si>
  <si>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</si>
  <si>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</si>
  <si>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</si>
  <si>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</si>
  <si>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</si>
  <si>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</si>
  <si>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</si>
  <si>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</si>
  <si>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</si>
  <si>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</si>
  <si>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</si>
  <si>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</si>
  <si>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</si>
  <si>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</si>
  <si>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</si>
  <si>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</si>
  <si>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</si>
  <si>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</si>
  <si>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</si>
  <si>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</si>
  <si>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</si>
  <si>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</si>
  <si>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</si>
  <si>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</si>
  <si>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</si>
  <si>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</si>
  <si>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</si>
  <si>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</si>
  <si>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</si>
  <si>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</si>
  <si>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</si>
  <si>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</si>
  <si>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</si>
  <si>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</si>
  <si>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</si>
  <si>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</si>
  <si>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</si>
  <si>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</si>
  <si>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</si>
  <si>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</si>
  <si>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</si>
  <si>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</si>
  <si>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</si>
  <si>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</si>
  <si>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</si>
  <si>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</si>
  <si>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</si>
  <si>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</si>
  <si>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</si>
  <si>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</si>
  <si>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</si>
  <si>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</si>
  <si>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</si>
  <si>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</si>
  <si>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</si>
  <si>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</si>
  <si>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</si>
  <si>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</si>
  <si>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</si>
  <si>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</si>
  <si>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</si>
  <si>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</si>
  <si>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</si>
  <si>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</si>
  <si>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</si>
  <si>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</si>
  <si>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</si>
  <si>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</si>
  <si>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</si>
  <si>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</si>
  <si>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</si>
  <si>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</si>
  <si>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</si>
  <si>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</si>
  <si>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</si>
  <si>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</si>
  <si>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</si>
  <si>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</si>
  <si>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</si>
  <si>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</si>
  <si>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</si>
  <si>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</si>
  <si>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</si>
  <si>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</si>
  <si>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</si>
  <si>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</si>
  <si>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</si>
  <si>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</si>
  <si>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</si>
  <si>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</si>
  <si>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</si>
  <si>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</si>
  <si>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</si>
  <si>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</si>
  <si>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</si>
  <si>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</si>
  <si>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</si>
  <si>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</si>
  <si>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</si>
  <si>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</si>
  <si>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</si>
  <si>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</si>
  <si>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</si>
  <si>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</si>
  <si>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</si>
  <si>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</si>
  <si>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</si>
  <si>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</si>
  <si>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</si>
  <si>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</si>
  <si>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</si>
  <si>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</si>
  <si>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</si>
  <si>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</si>
  <si>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</si>
  <si>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</si>
  <si>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</si>
  <si>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</si>
  <si>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</si>
  <si>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</si>
  <si>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</si>
  <si>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</si>
  <si>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</si>
  <si>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</si>
  <si>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</si>
  <si>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</si>
  <si>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</si>
  <si>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</si>
  <si>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</si>
  <si>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</si>
  <si>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</si>
  <si>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</si>
  <si>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</si>
  <si>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</si>
  <si>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</si>
  <si>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</si>
  <si>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</si>
  <si>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</si>
  <si>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</si>
  <si>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</si>
  <si>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</si>
  <si>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</si>
  <si>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</si>
  <si>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</si>
  <si>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</si>
  <si>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</si>
  <si>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</si>
  <si>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</si>
  <si>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</si>
  <si>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</si>
  <si>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</si>
  <si>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</si>
  <si>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</si>
  <si>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</si>
  <si>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</si>
  <si>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</si>
  <si>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</si>
  <si>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</si>
  <si>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</si>
  <si>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</si>
  <si>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</si>
  <si>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</si>
  <si>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</si>
  <si>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</si>
  <si>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</si>
  <si>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</si>
  <si>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</si>
  <si>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</si>
  <si>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</si>
  <si>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</si>
  <si>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</si>
  <si>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</si>
  <si>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</si>
  <si>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</si>
  <si>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</si>
  <si>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</si>
  <si>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</si>
  <si>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</si>
  <si>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</si>
  <si>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</si>
  <si>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</si>
  <si>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</si>
  <si>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</si>
  <si>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</si>
  <si>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</si>
  <si>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</si>
  <si>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</si>
  <si>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</si>
  <si>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</si>
  <si>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</si>
  <si>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</si>
  <si>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</si>
  <si>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</si>
  <si>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</si>
  <si>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</si>
  <si>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</si>
  <si>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</si>
  <si>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</si>
  <si>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</si>
  <si>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</si>
  <si>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</si>
  <si>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</si>
  <si>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</si>
  <si>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</si>
  <si>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</si>
  <si>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</si>
  <si>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</si>
  <si>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</si>
  <si>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</si>
  <si>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</si>
  <si>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</si>
  <si>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</si>
  <si>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</si>
  <si>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</si>
  <si>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</si>
  <si>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</si>
  <si>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</si>
  <si>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</si>
  <si>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</si>
  <si>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</si>
  <si>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</si>
  <si>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</si>
  <si>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</si>
  <si>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</si>
  <si>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</si>
  <si>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</si>
  <si>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</si>
  <si>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</si>
  <si>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</si>
  <si>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</si>
  <si>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</si>
  <si>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</si>
  <si>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</si>
  <si>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</si>
  <si>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</si>
  <si>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</si>
  <si>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</si>
  <si>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</si>
  <si>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</si>
  <si>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</si>
  <si>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</si>
  <si>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</si>
  <si>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</si>
  <si>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</si>
  <si>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</si>
  <si>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</si>
  <si>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</si>
  <si>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</si>
  <si>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</si>
  <si>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</si>
  <si>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</si>
  <si>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</si>
  <si>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</si>
  <si>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</si>
  <si>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</si>
  <si>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</si>
  <si>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</si>
  <si>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</si>
  <si>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</si>
  <si>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</si>
  <si>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</si>
  <si>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</si>
  <si>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</si>
  <si>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</si>
  <si>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</si>
  <si>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</si>
  <si>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</si>
  <si>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</si>
  <si>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</si>
  <si>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</si>
  <si>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</si>
  <si>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</si>
  <si>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</si>
  <si>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</si>
  <si>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</si>
  <si>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</si>
  <si>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</si>
  <si>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</si>
  <si>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</si>
  <si>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</si>
  <si>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</si>
  <si>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</si>
  <si>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</si>
  <si>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</si>
  <si>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</si>
  <si>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</si>
  <si>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</si>
  <si>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</si>
  <si>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</si>
  <si>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</si>
  <si>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</si>
  <si>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</si>
  <si>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</si>
  <si>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</si>
  <si>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</si>
  <si>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</si>
  <si>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</si>
  <si>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</si>
  <si>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</si>
  <si>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</si>
  <si>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</si>
  <si>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</si>
  <si>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</si>
  <si>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</si>
  <si>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</si>
  <si>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</si>
  <si>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</si>
  <si>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</si>
  <si>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</si>
  <si>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</si>
  <si>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</si>
  <si>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</si>
  <si>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</si>
  <si>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</si>
  <si>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</si>
  <si>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</si>
  <si>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</si>
  <si>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</si>
  <si>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</si>
  <si>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</si>
  <si>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</si>
  <si>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</si>
  <si>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</si>
  <si>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</si>
  <si>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</si>
  <si>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</si>
  <si>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</si>
  <si>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</si>
  <si>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</si>
  <si>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</si>
  <si>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</si>
  <si>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</si>
  <si>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</si>
  <si>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</si>
  <si>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</si>
  <si>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</si>
  <si>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</si>
  <si>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</si>
  <si>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</si>
  <si>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</si>
  <si>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</si>
  <si>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</si>
  <si>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</si>
  <si>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</si>
  <si>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</si>
  <si>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</si>
  <si>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</si>
  <si>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</si>
  <si>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</si>
  <si>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</si>
  <si>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</si>
  <si>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</si>
  <si>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</si>
  <si>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</si>
  <si>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</si>
  <si>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</si>
  <si>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</si>
  <si>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</si>
  <si>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</si>
  <si>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</si>
  <si>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</si>
  <si>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</si>
  <si>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</si>
  <si>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</si>
  <si>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</si>
  <si>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</si>
  <si>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</si>
  <si>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</si>
  <si>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</si>
  <si>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</si>
  <si>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</si>
  <si>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</si>
  <si>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</si>
  <si>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</si>
  <si>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</si>
  <si>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</si>
  <si>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</si>
  <si>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</si>
  <si>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</si>
  <si>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</si>
  <si>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</si>
  <si>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</si>
  <si>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</si>
  <si>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</si>
  <si>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</si>
  <si>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</si>
  <si>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</si>
  <si>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</si>
  <si>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</si>
  <si>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</si>
  <si>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</si>
  <si>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</si>
  <si>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</si>
  <si>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</si>
  <si>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</si>
  <si>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</si>
  <si>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</si>
  <si>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</si>
  <si>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</si>
  <si>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</si>
  <si>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</si>
  <si>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</si>
  <si>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</si>
  <si>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</si>
  <si>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</si>
  <si>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</si>
  <si>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</si>
  <si>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</si>
  <si>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</si>
  <si>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</si>
  <si>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</si>
  <si>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</si>
  <si>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</si>
  <si>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</si>
  <si>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</si>
  <si>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</si>
  <si>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</si>
  <si>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</si>
  <si>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</si>
  <si>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</si>
  <si>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</si>
  <si>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</si>
  <si>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</si>
  <si>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</si>
  <si>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</si>
  <si>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</si>
  <si>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</si>
  <si>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</si>
  <si>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</si>
  <si>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</si>
  <si>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</si>
  <si>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</si>
  <si>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</si>
  <si>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</si>
  <si>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</si>
  <si>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</si>
  <si>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</si>
  <si>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</si>
  <si>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</si>
  <si>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</si>
  <si>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</si>
  <si>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</si>
  <si>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</si>
  <si>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</si>
  <si>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</si>
  <si>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</si>
  <si>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</si>
  <si>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</si>
  <si>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</si>
  <si>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</si>
  <si>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</si>
  <si>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</si>
  <si>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</si>
  <si>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</si>
  <si>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</si>
  <si>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</si>
  <si>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</si>
  <si>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</si>
  <si>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</si>
  <si>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</si>
  <si>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</si>
  <si>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</si>
  <si>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</si>
  <si>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</si>
  <si>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</si>
  <si>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</si>
  <si>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</si>
  <si>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</si>
  <si>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</si>
  <si>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</si>
  <si>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</si>
  <si>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</si>
  <si>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</si>
  <si>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</si>
  <si>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</si>
  <si>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</si>
  <si>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</si>
  <si>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</si>
  <si>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</si>
  <si>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</si>
  <si>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</si>
  <si>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</si>
  <si>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</si>
  <si>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</si>
  <si>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</si>
  <si>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</si>
  <si>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</si>
  <si>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</si>
  <si>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</si>
  <si>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</si>
  <si>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</si>
  <si>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</si>
  <si>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</si>
  <si>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</si>
  <si>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</si>
  <si>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</si>
  <si>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</si>
  <si>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</si>
  <si>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</si>
  <si>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</si>
  <si>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</si>
  <si>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</si>
  <si>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</si>
  <si>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</si>
  <si>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</si>
  <si>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</si>
  <si>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</si>
  <si>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</si>
  <si>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</si>
  <si>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</si>
  <si>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</si>
  <si>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</si>
  <si>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</si>
  <si>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</si>
  <si>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</si>
  <si>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</si>
  <si>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</si>
  <si>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</si>
  <si>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</si>
  <si>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</si>
  <si>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</si>
  <si>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</si>
  <si>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</si>
  <si>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</si>
  <si>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</si>
  <si>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</si>
  <si>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</si>
  <si>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</si>
  <si>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</si>
  <si>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</si>
  <si>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</si>
  <si>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</si>
  <si>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</si>
  <si>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</si>
  <si>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</si>
  <si>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</si>
  <si>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</si>
  <si>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</si>
  <si>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</si>
  <si>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</si>
  <si>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</si>
  <si>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</si>
  <si>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</si>
  <si>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</si>
  <si>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</si>
  <si>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</si>
  <si>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</si>
  <si>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</si>
  <si>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</si>
  <si>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</si>
  <si>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</si>
  <si>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</si>
  <si>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</si>
  <si>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</si>
  <si>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</si>
  <si>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</si>
  <si>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</si>
  <si>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</si>
  <si>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</si>
  <si>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</si>
  <si>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</si>
  <si>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</si>
  <si>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</si>
  <si>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</si>
  <si>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</si>
  <si>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</si>
  <si>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</si>
  <si>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</si>
  <si>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</si>
  <si>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</si>
  <si>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</si>
  <si>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</si>
  <si>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</si>
  <si>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</si>
  <si>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</si>
  <si>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</si>
  <si>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</si>
  <si>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</si>
  <si>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</si>
  <si>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</si>
  <si>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</si>
  <si>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</si>
  <si>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</si>
  <si>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</si>
  <si>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</si>
  <si>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</si>
  <si>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</si>
  <si>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</si>
  <si>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</si>
  <si>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</si>
  <si>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</si>
  <si>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</si>
  <si>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</si>
  <si>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</si>
  <si>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</si>
  <si>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</si>
  <si>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</si>
  <si>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</si>
  <si>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</si>
  <si>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</si>
  <si>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</si>
  <si>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</si>
  <si>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</si>
  <si>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</si>
  <si>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</si>
  <si>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</si>
  <si>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</si>
  <si>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</si>
  <si>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</si>
  <si>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</si>
  <si>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</si>
  <si>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</si>
  <si>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</si>
  <si>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</si>
  <si>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</si>
  <si>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</si>
  <si>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</si>
  <si>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</si>
  <si>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</si>
  <si>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</si>
  <si>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</si>
  <si>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</si>
  <si>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</si>
  <si>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</si>
  <si>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</si>
  <si>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</si>
  <si>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</si>
  <si>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</si>
  <si>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</si>
  <si>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</si>
  <si>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</si>
  <si>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</si>
  <si>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</si>
  <si>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</si>
  <si>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</si>
  <si>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</si>
  <si>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</si>
  <si>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</si>
  <si>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</si>
  <si>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</si>
  <si>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</si>
  <si>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</si>
  <si>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</si>
  <si>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</si>
  <si>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</si>
  <si>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</si>
  <si>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</si>
  <si>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</si>
  <si>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</si>
  <si>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</si>
  <si>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</si>
  <si>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</si>
  <si>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</si>
  <si>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</si>
  <si>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</si>
  <si>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</si>
  <si>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</si>
  <si>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</si>
  <si>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</si>
  <si>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</si>
  <si>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</si>
  <si>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</si>
  <si>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</si>
  <si>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</si>
  <si>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</si>
  <si>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</si>
  <si>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</si>
  <si>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</si>
  <si>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</si>
  <si>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</si>
  <si>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</si>
  <si>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</si>
  <si>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</si>
  <si>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</si>
  <si>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</si>
  <si>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</si>
  <si>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</si>
  <si>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</si>
  <si>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</si>
  <si>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</si>
  <si>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</si>
  <si>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</si>
  <si>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</si>
  <si>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</si>
  <si>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</si>
  <si>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</si>
  <si>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</si>
  <si>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</si>
  <si>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</si>
  <si>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</si>
  <si>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</si>
  <si>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</si>
  <si>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</si>
  <si>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</si>
  <si>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</si>
  <si>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</si>
  <si>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</si>
  <si>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</si>
  <si>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</si>
  <si>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</si>
  <si>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</si>
  <si>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</si>
  <si>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</si>
  <si>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</si>
  <si>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</si>
  <si>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</si>
  <si>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</si>
  <si>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</si>
  <si>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</si>
  <si>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</si>
  <si>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</si>
  <si>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</si>
  <si>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</si>
  <si>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</si>
  <si>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</si>
  <si>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</si>
  <si>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</si>
  <si>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</si>
  <si>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</si>
  <si>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</si>
  <si>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</si>
  <si>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</si>
  <si>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</si>
  <si>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</si>
  <si>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</si>
  <si>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</si>
  <si>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</si>
  <si>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</si>
  <si>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</si>
  <si>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</si>
  <si>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</si>
  <si>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</si>
  <si>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</si>
  <si>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</si>
  <si>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</si>
  <si>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</si>
  <si>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</si>
  <si>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</si>
  <si>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</si>
  <si>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</si>
  <si>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</si>
  <si>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</si>
  <si>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</si>
  <si>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</si>
  <si>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</si>
  <si>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</si>
  <si>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</si>
  <si>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</si>
  <si>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</si>
  <si>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</si>
  <si>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</si>
  <si>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</si>
  <si>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</si>
  <si>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</si>
  <si>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</si>
  <si>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</si>
  <si>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</si>
  <si>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</si>
  <si>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</si>
  <si>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</si>
  <si>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</si>
  <si>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</si>
  <si>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</si>
  <si>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</si>
  <si>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</si>
  <si>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</si>
  <si>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</si>
  <si>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</si>
  <si>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</si>
  <si>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</si>
  <si>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</si>
  <si>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</si>
  <si>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</si>
  <si>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</si>
  <si>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</si>
  <si>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</si>
  <si>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</si>
  <si>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</si>
  <si>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</si>
  <si>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</si>
  <si>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</si>
  <si>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</si>
  <si>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</si>
  <si>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</si>
  <si>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</si>
  <si>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</si>
  <si>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</si>
  <si>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</si>
  <si>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</si>
  <si>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</si>
  <si>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</si>
  <si>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</si>
  <si>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</si>
  <si>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</si>
  <si>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</si>
  <si>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</si>
  <si>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</si>
  <si>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</si>
  <si>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</si>
  <si>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</si>
  <si>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</si>
  <si>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</si>
  <si>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</si>
  <si>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</si>
  <si>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</si>
  <si>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</si>
  <si>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</si>
  <si>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</si>
  <si>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</si>
  <si>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</si>
  <si>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</si>
  <si>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</si>
  <si>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</si>
  <si>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</si>
  <si>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</si>
  <si>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</si>
  <si>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</si>
  <si>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</si>
  <si>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</si>
  <si>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</si>
  <si>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</si>
  <si>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</si>
  <si>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</si>
  <si>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</si>
  <si>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</si>
  <si>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</si>
  <si>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</si>
  <si>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</si>
  <si>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</si>
  <si>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</si>
  <si>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</si>
  <si>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</si>
  <si>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</si>
  <si>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</si>
  <si>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</si>
  <si>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</si>
  <si>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</si>
  <si>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</si>
  <si>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</si>
  <si>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</si>
  <si>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</si>
  <si>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</si>
  <si>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</si>
  <si>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</si>
  <si>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</si>
  <si>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</si>
  <si>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</si>
  <si>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</si>
  <si>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</si>
  <si>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</si>
  <si>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</si>
  <si>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</si>
  <si>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</si>
  <si>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</si>
  <si>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</si>
  <si>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</si>
  <si>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</si>
  <si>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</si>
  <si>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</si>
  <si>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</si>
  <si>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</si>
  <si>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</si>
  <si>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</si>
  <si>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</si>
  <si>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</si>
  <si>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</si>
  <si>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</si>
  <si>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</si>
  <si>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</si>
  <si>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</si>
  <si>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</si>
  <si>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</si>
  <si>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</si>
  <si>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</si>
  <si>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</si>
  <si>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</si>
  <si>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</si>
  <si>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</si>
  <si>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</si>
  <si>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</si>
  <si>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</si>
  <si>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</si>
  <si>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</si>
  <si>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</si>
  <si>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</si>
  <si>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</si>
  <si>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</si>
  <si>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</si>
  <si>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</si>
  <si>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</si>
  <si>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</si>
  <si>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</si>
  <si>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</si>
  <si>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</si>
  <si>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</si>
  <si>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</si>
  <si>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</si>
  <si>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</si>
  <si>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</si>
  <si>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</si>
  <si>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</si>
  <si>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</si>
  <si>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</si>
  <si>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</si>
  <si>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</si>
  <si>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</si>
  <si>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</si>
  <si>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</si>
  <si>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</si>
  <si>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</si>
  <si>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</si>
  <si>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</si>
  <si>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</si>
  <si>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</si>
  <si>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</si>
  <si>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</si>
  <si>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</si>
  <si>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</si>
  <si>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</si>
  <si>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</si>
  <si>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</si>
  <si>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</si>
  <si>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</si>
  <si>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</si>
  <si>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</si>
  <si>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</si>
  <si>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</si>
  <si>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</si>
  <si>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</si>
  <si>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</si>
  <si>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</si>
  <si>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</si>
  <si>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</si>
  <si>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</si>
  <si>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</si>
  <si>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</si>
  <si>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</si>
  <si>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</si>
  <si>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</si>
  <si>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</si>
  <si>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</si>
  <si>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</si>
  <si>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</si>
  <si>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</si>
  <si>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</si>
  <si>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</si>
  <si>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</si>
  <si>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</si>
  <si>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</si>
  <si>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</si>
  <si>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</si>
  <si>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</si>
  <si>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</si>
  <si>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</si>
  <si>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</si>
  <si>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</si>
  <si>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</si>
  <si>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</si>
  <si>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</si>
  <si>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</si>
  <si>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</si>
  <si>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</si>
  <si>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</si>
  <si>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</si>
  <si>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</si>
  <si>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</si>
  <si>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</si>
  <si>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</si>
  <si>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</si>
  <si>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</si>
  <si>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</si>
  <si>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</si>
  <si>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</si>
  <si>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</si>
  <si>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</si>
  <si>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</si>
  <si>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</si>
  <si>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</si>
  <si>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</si>
  <si>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</si>
  <si>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</si>
  <si>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</si>
  <si>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</si>
  <si>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</si>
  <si>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</si>
  <si>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</si>
  <si>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</si>
  <si>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</si>
  <si>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</si>
  <si>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</si>
  <si>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</si>
  <si>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</si>
  <si>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</si>
  <si>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</si>
  <si>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</si>
  <si>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</si>
  <si>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</si>
  <si>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</si>
  <si>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</si>
  <si>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</si>
  <si>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</si>
  <si>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</si>
  <si>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</si>
  <si>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</si>
  <si>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</si>
  <si>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</si>
  <si>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</si>
  <si>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</si>
  <si>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</si>
  <si>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</si>
  <si>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</si>
  <si>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</si>
  <si>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</si>
  <si>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</si>
  <si>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</si>
  <si>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</si>
  <si>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</si>
  <si>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</si>
  <si>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</si>
  <si>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</si>
  <si>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</si>
  <si>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</si>
  <si>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</si>
  <si>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</si>
  <si>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</si>
  <si>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</si>
  <si>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</si>
  <si>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</si>
  <si>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</si>
  <si>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</si>
  <si>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</si>
  <si>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</si>
  <si>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</si>
  <si>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</si>
  <si>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</si>
  <si>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</si>
  <si>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</si>
  <si>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</si>
  <si>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</si>
  <si>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</si>
  <si>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</si>
  <si>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</si>
  <si>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</si>
  <si>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</si>
  <si>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</si>
  <si>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</si>
  <si>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</si>
  <si>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</si>
  <si>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</si>
  <si>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</si>
  <si>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</si>
  <si>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</si>
  <si>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</si>
  <si>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</si>
  <si>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</si>
  <si>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</si>
  <si>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</si>
  <si>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</si>
  <si>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</si>
  <si>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</si>
  <si>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</si>
  <si>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</si>
  <si>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</si>
  <si>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</si>
  <si>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</si>
  <si>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</si>
  <si>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</si>
  <si>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</si>
  <si>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</si>
  <si>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</si>
  <si>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</si>
  <si>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</si>
  <si>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</si>
  <si>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</si>
  <si>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</si>
  <si>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</si>
  <si>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</si>
  <si>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</si>
  <si>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</si>
  <si>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</si>
  <si>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</si>
  <si>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</si>
  <si>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</si>
  <si>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</si>
  <si>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</si>
  <si>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</si>
  <si>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</si>
  <si>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</si>
  <si>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</si>
  <si>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</si>
  <si>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</si>
  <si>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</si>
  <si>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</si>
  <si>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</si>
  <si>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</si>
  <si>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</si>
  <si>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</si>
  <si>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</si>
  <si>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</si>
  <si>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</si>
  <si>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</si>
  <si>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</si>
  <si>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</si>
  <si>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</si>
  <si>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</si>
  <si>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</si>
  <si>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</si>
  <si>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</si>
  <si>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</si>
  <si>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</si>
  <si>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</si>
  <si>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</si>
  <si>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</si>
  <si>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</si>
  <si>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</si>
  <si>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</si>
  <si>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</si>
  <si>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</si>
  <si>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</si>
  <si>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</si>
  <si>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</si>
  <si>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</si>
  <si>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</si>
  <si>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</si>
  <si>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</si>
  <si>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</si>
  <si>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</si>
  <si>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</si>
  <si>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</si>
  <si>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</si>
  <si>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</si>
  <si>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</si>
  <si>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</si>
  <si>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</si>
  <si>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</si>
  <si>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</si>
  <si>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</si>
  <si>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</si>
  <si>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</si>
  <si>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</si>
  <si>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</si>
  <si>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</si>
  <si>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</si>
  <si>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</si>
  <si>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</si>
  <si>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</si>
  <si>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</si>
  <si>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</si>
  <si>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</si>
  <si>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</si>
  <si>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</si>
  <si>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</si>
  <si>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</si>
  <si>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</si>
  <si>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</si>
  <si>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</si>
  <si>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</si>
  <si>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</si>
  <si>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</si>
  <si>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</si>
  <si>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</si>
  <si>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</si>
  <si>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</si>
  <si>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</si>
  <si>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</si>
  <si>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</si>
  <si>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</si>
  <si>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</si>
  <si>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</si>
  <si>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</si>
  <si>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</si>
  <si>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</si>
  <si>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</si>
  <si>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</si>
  <si>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</si>
  <si>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</si>
  <si>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</si>
  <si>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</si>
  <si>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</si>
  <si>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</si>
  <si>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</si>
  <si>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</si>
  <si>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</si>
  <si>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</si>
  <si>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</si>
  <si>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</si>
  <si>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</si>
  <si>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</si>
  <si>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</si>
  <si>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</si>
  <si>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</si>
  <si>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</si>
  <si>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</si>
  <si>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</si>
  <si>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</si>
  <si>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</si>
  <si>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</si>
  <si>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</si>
  <si>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</si>
  <si>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</si>
  <si>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</si>
  <si>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</si>
  <si>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</si>
  <si>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</si>
  <si>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</si>
  <si>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</si>
  <si>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</si>
  <si>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</si>
  <si>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</si>
  <si>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</si>
  <si>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</si>
  <si>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</si>
  <si>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</si>
  <si>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</si>
  <si>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</si>
  <si>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</si>
  <si>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</si>
  <si>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</si>
  <si>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</si>
  <si>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</si>
  <si>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</si>
  <si>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</si>
  <si>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</si>
  <si>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</si>
  <si>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</si>
  <si>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</si>
  <si>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</si>
  <si>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</si>
  <si>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</si>
  <si>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</si>
  <si>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</si>
  <si>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</si>
  <si>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</si>
  <si>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</si>
  <si>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</si>
  <si>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</si>
  <si>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</si>
  <si>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</si>
  <si>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</si>
  <si>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</si>
  <si>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</si>
  <si>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</si>
  <si>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</si>
  <si>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</si>
  <si>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</si>
  <si>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</si>
  <si>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</si>
  <si>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</si>
  <si>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</si>
  <si>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</si>
  <si>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</si>
  <si>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</si>
  <si>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</si>
  <si>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</si>
  <si>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</si>
  <si>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</si>
  <si>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</si>
  <si>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</si>
  <si>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</si>
  <si>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</si>
  <si>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</si>
  <si>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</si>
  <si>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</si>
  <si>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</si>
  <si>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</si>
  <si>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</si>
  <si>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</si>
  <si>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</si>
  <si>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</si>
  <si>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</si>
  <si>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</si>
  <si>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</si>
  <si>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</si>
  <si>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</si>
  <si>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</si>
  <si>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</si>
  <si>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</si>
  <si>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</si>
  <si>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</si>
  <si>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</si>
  <si>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</si>
  <si>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</si>
  <si>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</si>
  <si>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</si>
  <si>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</si>
  <si>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</si>
  <si>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</si>
  <si>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</si>
  <si>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</si>
  <si>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</si>
  <si>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</si>
  <si>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</si>
  <si>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</si>
  <si>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</si>
  <si>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</si>
  <si>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</si>
  <si>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</si>
  <si>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</si>
  <si>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</si>
  <si>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</si>
  <si>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</si>
  <si>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</si>
  <si>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</si>
  <si>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</si>
  <si>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</si>
  <si>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</si>
  <si>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</si>
  <si>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</si>
  <si>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</si>
  <si>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</si>
  <si>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</si>
  <si>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</si>
  <si>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</si>
  <si>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</si>
  <si>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</si>
  <si>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</si>
  <si>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</si>
  <si>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</si>
  <si>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</si>
  <si>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</si>
  <si>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</si>
  <si>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</si>
  <si>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</si>
  <si>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</si>
  <si>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</si>
  <si>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</si>
  <si>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</si>
  <si>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</si>
  <si>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</si>
  <si>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</si>
  <si>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</si>
  <si>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</si>
  <si>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</si>
  <si>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</si>
  <si>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</si>
  <si>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</si>
  <si>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</si>
  <si>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</si>
  <si>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</si>
  <si>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</si>
  <si>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</si>
  <si>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</si>
  <si>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</si>
  <si>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</si>
  <si>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</si>
  <si>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</si>
  <si>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</si>
  <si>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</si>
  <si>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</si>
  <si>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</si>
  <si>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</si>
  <si>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</si>
  <si>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</si>
  <si>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</si>
  <si>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</si>
  <si>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</si>
  <si>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</si>
  <si>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</si>
  <si>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</si>
  <si>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</si>
  <si>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</si>
  <si>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</si>
  <si>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</si>
  <si>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</si>
  <si>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</si>
  <si>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</si>
  <si>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</si>
  <si>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</si>
  <si>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</si>
  <si>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</si>
  <si>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</si>
  <si>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</si>
  <si>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</si>
  <si>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</si>
  <si>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</si>
  <si>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</si>
  <si>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</si>
  <si>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</si>
  <si>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</si>
  <si>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</si>
  <si>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</si>
  <si>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</si>
  <si>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</si>
  <si>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</si>
  <si>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</si>
  <si>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</si>
  <si>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</si>
  <si>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</si>
  <si>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</si>
  <si>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</si>
  <si>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</si>
  <si>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</si>
  <si>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</si>
  <si>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</si>
  <si>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</si>
  <si>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</si>
  <si>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</si>
  <si>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</si>
  <si>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</si>
  <si>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</si>
  <si>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</si>
  <si>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</si>
  <si>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</si>
  <si>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</si>
  <si>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</si>
  <si>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</si>
  <si>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</si>
  <si>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</si>
  <si>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</si>
  <si>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</si>
  <si>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</si>
  <si>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</si>
  <si>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</si>
  <si>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</si>
  <si>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</si>
  <si>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</si>
  <si>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</si>
  <si>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</si>
  <si>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</si>
  <si>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</si>
  <si>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</si>
  <si>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</si>
  <si>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</si>
  <si>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</si>
  <si>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</si>
  <si>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</si>
  <si>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</si>
  <si>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</si>
  <si>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</si>
  <si>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</si>
  <si>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</si>
  <si>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</si>
  <si>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</si>
  <si>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</si>
  <si>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</si>
  <si>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</si>
  <si>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</si>
  <si>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</si>
  <si>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</si>
  <si>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</si>
  <si>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</si>
  <si>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</si>
  <si>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</si>
  <si>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</si>
  <si>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</si>
  <si>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</si>
  <si>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</si>
  <si>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</si>
  <si>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</si>
  <si>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</si>
  <si>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</si>
  <si>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</si>
  <si>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</si>
  <si>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</si>
  <si>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</si>
  <si>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</si>
  <si>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</si>
  <si>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</si>
  <si>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</si>
  <si>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</si>
  <si>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</si>
  <si>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</si>
  <si>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</si>
  <si>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</si>
  <si>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</si>
  <si>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</si>
  <si>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</si>
  <si>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</si>
  <si>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</si>
  <si>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</si>
  <si>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</si>
  <si>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</si>
  <si>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</si>
  <si>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</si>
  <si>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</si>
  <si>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</si>
  <si>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</si>
  <si>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</si>
  <si>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</si>
  <si>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</si>
  <si>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</si>
  <si>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</si>
  <si>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</si>
  <si>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</si>
  <si>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</si>
  <si>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</si>
  <si>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</si>
  <si>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</si>
  <si>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</si>
  <si>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</si>
  <si>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</si>
  <si>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</si>
  <si>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</si>
  <si>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</si>
  <si>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</si>
  <si>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</si>
  <si>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</si>
  <si>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</si>
  <si>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</si>
  <si>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</si>
  <si>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</si>
  <si>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</si>
  <si>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</si>
  <si>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</si>
  <si>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</si>
  <si>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</si>
  <si>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</si>
  <si>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</si>
  <si>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</si>
  <si>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</si>
  <si>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</si>
  <si>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</si>
  <si>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</si>
  <si>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</si>
  <si>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</si>
  <si>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</si>
  <si>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</si>
  <si>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</si>
  <si>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</si>
  <si>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</si>
  <si>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</si>
  <si>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</si>
  <si>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</si>
  <si>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</si>
  <si>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</si>
  <si>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</si>
  <si>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</si>
  <si>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</si>
  <si>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</si>
  <si>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</si>
  <si>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</si>
  <si>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</si>
  <si>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</si>
  <si>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</si>
  <si>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</si>
  <si>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</si>
  <si>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</si>
  <si>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</si>
  <si>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</si>
  <si>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</si>
  <si>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</si>
  <si>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</si>
  <si>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</si>
  <si>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</si>
  <si>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</si>
  <si>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</si>
  <si>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</si>
  <si>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</si>
  <si>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</si>
  <si>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</si>
  <si>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</si>
  <si>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</si>
  <si>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</si>
  <si>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</si>
  <si>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</si>
  <si>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</si>
  <si>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</si>
  <si>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</si>
  <si>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</si>
  <si>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</si>
  <si>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</si>
  <si>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</si>
  <si>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</si>
  <si>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</si>
  <si>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</si>
  <si>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</si>
  <si>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</si>
  <si>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</si>
  <si>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</si>
  <si>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</si>
  <si>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</si>
  <si>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</si>
  <si>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</si>
  <si>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</si>
  <si>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</si>
  <si>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</si>
  <si>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</si>
  <si>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</si>
  <si>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</si>
  <si>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</si>
  <si>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</si>
  <si>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</si>
  <si>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</si>
  <si>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</si>
  <si>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</si>
  <si>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</si>
  <si>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</si>
  <si>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</si>
  <si>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</si>
  <si>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</si>
  <si>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</si>
  <si>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</si>
  <si>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</si>
  <si>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</si>
  <si>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</si>
  <si>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</si>
  <si>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</si>
  <si>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</si>
  <si>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</si>
  <si>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</si>
  <si>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</si>
  <si>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</si>
  <si>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</si>
  <si>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</si>
  <si>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</si>
  <si>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</si>
  <si>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</si>
  <si>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</si>
  <si>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</si>
  <si>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</si>
  <si>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</si>
  <si>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</si>
  <si>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</si>
  <si>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</si>
  <si>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</si>
  <si>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</si>
  <si>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</si>
  <si>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</si>
  <si>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</si>
  <si>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</si>
  <si>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</si>
  <si>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</si>
  <si>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</si>
  <si>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</si>
  <si>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</si>
  <si>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</si>
  <si>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</si>
  <si>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</si>
  <si>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</si>
  <si>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</si>
  <si>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</si>
  <si>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</si>
  <si>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</si>
  <si>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</si>
  <si>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</si>
  <si>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</si>
  <si>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</si>
  <si>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</si>
  <si>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</si>
  <si>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</si>
  <si>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</si>
  <si>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</si>
  <si>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</si>
  <si>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</si>
  <si>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</si>
  <si>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</si>
  <si>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</si>
  <si>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</si>
  <si>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</si>
  <si>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</si>
  <si>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</si>
  <si>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</si>
  <si>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</si>
  <si>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</si>
  <si>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</si>
  <si>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</si>
  <si>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</si>
  <si>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</si>
  <si>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</si>
  <si>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</si>
  <si>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</si>
  <si>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</si>
  <si>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</si>
  <si>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</si>
  <si>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</si>
  <si>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</si>
  <si>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</si>
  <si>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</si>
  <si>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</si>
  <si>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</si>
  <si>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</si>
  <si>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</si>
  <si>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</si>
  <si>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</si>
  <si>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</si>
  <si>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</si>
  <si>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</si>
  <si>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</si>
  <si>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</si>
  <si>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</si>
  <si>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</si>
  <si>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</si>
  <si>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</si>
  <si>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</si>
  <si>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</si>
  <si>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</si>
  <si>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</si>
  <si>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</si>
  <si>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</si>
  <si>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</si>
  <si>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</si>
  <si>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</si>
  <si>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</si>
  <si>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</si>
  <si>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</si>
  <si>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</si>
  <si>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</si>
  <si>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</si>
  <si>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</si>
  <si>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</si>
  <si>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</si>
  <si>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</si>
  <si>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</si>
  <si>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</si>
  <si>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</si>
  <si>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</si>
  <si>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</si>
  <si>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</si>
  <si>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</si>
  <si>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</si>
  <si>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</si>
  <si>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</si>
  <si>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</si>
  <si>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</si>
  <si>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</si>
  <si>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</si>
  <si>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</si>
  <si>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</si>
  <si>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</si>
  <si>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</si>
  <si>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</si>
  <si>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</si>
  <si>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</si>
  <si>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</si>
  <si>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</si>
  <si>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</si>
  <si>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</si>
  <si>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</si>
  <si>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</si>
  <si>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</si>
  <si>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</si>
  <si>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</si>
  <si>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</si>
  <si>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</si>
  <si>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</si>
  <si>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</si>
  <si>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</si>
  <si>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</si>
  <si>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</si>
  <si>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</si>
  <si>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</si>
  <si>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</si>
  <si>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</si>
  <si>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</si>
  <si>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</si>
  <si>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</si>
  <si>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</si>
  <si>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</si>
  <si>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</si>
  <si>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</si>
  <si>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</si>
  <si>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</si>
  <si>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</si>
  <si>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</si>
  <si>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</si>
  <si>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</si>
  <si>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</si>
  <si>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</si>
  <si>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</si>
  <si>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</si>
  <si>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</si>
  <si>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</si>
  <si>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</si>
  <si>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</si>
  <si>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</si>
  <si>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</si>
  <si>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</si>
  <si>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</si>
  <si>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</si>
  <si>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</si>
  <si>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</si>
  <si>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</si>
  <si>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</si>
  <si>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</si>
  <si>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</si>
  <si>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</si>
  <si>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</si>
  <si>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</si>
  <si>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</si>
  <si>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</si>
  <si>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</si>
  <si>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</si>
  <si>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</si>
  <si>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</si>
  <si>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</si>
  <si>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</si>
  <si>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</si>
  <si>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</si>
  <si>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</si>
  <si>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</si>
  <si>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</si>
  <si>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</si>
  <si>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</si>
  <si>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</si>
  <si>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</si>
  <si>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</si>
  <si>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</si>
  <si>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</si>
  <si>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</si>
  <si>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</si>
  <si>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</si>
  <si>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</si>
  <si>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</si>
  <si>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</si>
  <si>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</si>
  <si>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</si>
  <si>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</si>
  <si>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</si>
  <si>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</si>
  <si>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</si>
  <si>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</si>
  <si>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</si>
  <si>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</si>
  <si>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</si>
  <si>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</si>
  <si>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</si>
  <si>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</si>
  <si>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</si>
  <si>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</si>
  <si>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</si>
  <si>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</si>
  <si>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</si>
  <si>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</si>
  <si>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</si>
  <si>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</si>
  <si>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</si>
  <si>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</si>
  <si>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</si>
  <si>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</si>
  <si>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</si>
  <si>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</si>
  <si>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</si>
  <si>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</si>
  <si>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</si>
  <si>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</si>
  <si>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</si>
  <si>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</si>
  <si>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</si>
  <si>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</si>
  <si>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</si>
  <si>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</si>
  <si>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</si>
  <si>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</si>
  <si>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</si>
  <si>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</si>
  <si>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</si>
  <si>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</si>
  <si>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</si>
  <si>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</si>
  <si>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</si>
  <si>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</si>
  <si>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</si>
  <si>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</si>
  <si>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</si>
  <si>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</si>
  <si>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</si>
  <si>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</si>
  <si>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</si>
  <si>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</si>
  <si>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</si>
  <si>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</si>
  <si>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</si>
  <si>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</si>
  <si>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</si>
  <si>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</si>
  <si>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</si>
  <si>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</si>
  <si>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</si>
  <si>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</si>
  <si>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</si>
  <si>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</si>
  <si>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</si>
  <si>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</si>
  <si>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</si>
  <si>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</si>
  <si>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</si>
  <si>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</si>
  <si>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</si>
  <si>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</si>
  <si>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</si>
  <si>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</si>
  <si>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</si>
  <si>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</si>
  <si>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</si>
  <si>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</si>
  <si>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</si>
  <si>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</si>
  <si>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</si>
  <si>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</si>
  <si>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</si>
  <si>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</si>
  <si>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</si>
  <si>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</si>
  <si>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</si>
  <si>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</si>
  <si>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</si>
  <si>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</si>
  <si>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</si>
  <si>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</si>
  <si>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</si>
  <si>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</si>
  <si>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</si>
  <si>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</si>
  <si>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</si>
  <si>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</si>
  <si>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</si>
  <si>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</si>
  <si>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</si>
  <si>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</si>
  <si>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</si>
  <si>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</si>
  <si>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</si>
  <si>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</si>
  <si>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</si>
  <si>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</si>
  <si>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</si>
  <si>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</si>
  <si>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</si>
  <si>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</si>
  <si>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</si>
  <si>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</si>
  <si>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</si>
  <si>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</si>
  <si>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</si>
  <si>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</si>
  <si>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</si>
  <si>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</si>
  <si>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</si>
  <si>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</si>
  <si>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</si>
  <si>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</si>
  <si>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</si>
  <si>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</si>
  <si>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</si>
  <si>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</si>
  <si>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</si>
  <si>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</si>
  <si>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</si>
  <si>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</si>
  <si>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</si>
  <si>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</si>
  <si>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</si>
  <si>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</si>
  <si>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</si>
  <si>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</si>
  <si>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</si>
  <si>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</si>
  <si>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</si>
  <si>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</si>
  <si>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</si>
  <si>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</si>
  <si>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</si>
  <si>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</si>
  <si>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</si>
  <si>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</si>
  <si>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</si>
  <si>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</si>
  <si>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</si>
  <si>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</si>
  <si>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</si>
  <si>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</si>
  <si>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</si>
  <si>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</si>
  <si>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</si>
  <si>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</si>
  <si>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</si>
  <si>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</si>
  <si>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</si>
  <si>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</si>
  <si>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</si>
  <si>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</si>
  <si>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</si>
  <si>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</si>
  <si>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</si>
  <si>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</si>
  <si>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</si>
  <si>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</si>
  <si>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</si>
  <si>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</si>
  <si>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</si>
  <si>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</si>
  <si>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</si>
  <si>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</si>
  <si>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</si>
  <si>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</si>
  <si>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</si>
  <si>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</si>
  <si>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</si>
  <si>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</si>
  <si>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</si>
  <si>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</si>
  <si>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</si>
  <si>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</si>
  <si>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</si>
  <si>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</si>
  <si>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</si>
  <si>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</si>
  <si>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</si>
  <si>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</si>
  <si>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</si>
  <si>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</si>
  <si>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</si>
  <si>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</si>
  <si>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</si>
  <si>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</si>
  <si>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</si>
  <si>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</si>
  <si>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</si>
  <si>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</si>
  <si>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</si>
  <si>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</si>
  <si>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</si>
  <si>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</si>
  <si>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</si>
  <si>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</si>
  <si>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</si>
  <si>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</si>
  <si>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</si>
  <si>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</si>
  <si>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</si>
  <si>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</si>
  <si>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</si>
  <si>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</si>
  <si>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</si>
  <si>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</si>
  <si>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</si>
  <si>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</si>
  <si>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</si>
  <si>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</si>
  <si>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</si>
  <si>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</si>
  <si>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</si>
  <si>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</si>
  <si>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</si>
  <si>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</si>
  <si>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</si>
  <si>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</si>
  <si>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</si>
  <si>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</si>
  <si>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</si>
  <si>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</si>
  <si>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</si>
  <si>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</si>
  <si>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</si>
  <si>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</si>
  <si>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</si>
  <si>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</si>
  <si>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</si>
  <si>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</si>
  <si>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</si>
  <si>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</si>
  <si>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</si>
  <si>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</si>
  <si>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</si>
  <si>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</si>
  <si>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</si>
  <si>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</si>
  <si>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</si>
  <si>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</si>
  <si>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</si>
  <si>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</si>
  <si>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</si>
  <si>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</si>
  <si>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</si>
  <si>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</si>
  <si>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</si>
  <si>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</si>
  <si>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</si>
  <si>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</si>
  <si>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</si>
  <si>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</si>
  <si>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</si>
  <si>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</si>
  <si>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</si>
  <si>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</si>
  <si>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</si>
  <si>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</si>
  <si>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</si>
  <si>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</si>
  <si>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</si>
  <si>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</si>
  <si>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</si>
  <si>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</si>
  <si>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</si>
  <si>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</si>
  <si>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</si>
  <si>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</si>
  <si>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</si>
  <si>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</si>
  <si>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</si>
  <si>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</si>
  <si>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</si>
  <si>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</si>
  <si>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</si>
  <si>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</si>
  <si>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</si>
  <si>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</si>
  <si>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</si>
  <si>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</si>
  <si>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</si>
  <si>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</si>
  <si>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</si>
  <si>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</si>
  <si>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</si>
  <si>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</si>
  <si>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</si>
  <si>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</si>
  <si>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</si>
  <si>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</si>
  <si>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</si>
  <si>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</si>
  <si>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</si>
  <si>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</si>
  <si>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</si>
  <si>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</si>
  <si>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</si>
  <si>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</si>
  <si>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</si>
  <si>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</si>
  <si>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</si>
  <si>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</si>
  <si>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</si>
  <si>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</si>
  <si>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</si>
  <si>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</si>
  <si>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</si>
  <si>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</si>
  <si>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</si>
  <si>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</si>
  <si>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</si>
  <si>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</si>
  <si>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</si>
  <si>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</si>
  <si>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</si>
  <si>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</si>
  <si>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</si>
  <si>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</si>
  <si>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</si>
  <si>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</si>
  <si>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</si>
  <si>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</si>
  <si>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</si>
  <si>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</si>
  <si>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</si>
  <si>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</si>
  <si>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</si>
  <si>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</si>
  <si>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</si>
  <si>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</si>
  <si>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</si>
  <si>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</si>
  <si>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</si>
  <si>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</si>
  <si>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</si>
  <si>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</si>
  <si>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</si>
  <si>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</si>
  <si>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</si>
  <si>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</si>
  <si>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</si>
  <si>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</si>
  <si>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</si>
  <si>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</si>
  <si>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</si>
  <si>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</si>
  <si>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</si>
  <si>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</si>
  <si>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</si>
  <si>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</si>
  <si>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</si>
  <si>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</si>
  <si>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</si>
  <si>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</si>
  <si>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</si>
  <si>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</si>
  <si>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</si>
  <si>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</si>
  <si>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</si>
  <si>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</si>
  <si>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</si>
  <si>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</si>
  <si>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</si>
  <si>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</si>
  <si>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</si>
  <si>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</si>
  <si>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</si>
  <si>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</si>
  <si>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</si>
  <si>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</si>
  <si>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</si>
  <si>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</si>
  <si>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</si>
  <si>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</si>
  <si>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</si>
  <si>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</si>
  <si>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</si>
  <si>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</si>
  <si>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</si>
  <si>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</si>
  <si>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</si>
  <si>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</si>
  <si>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</si>
  <si>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</si>
  <si>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</si>
  <si>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</si>
  <si>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</si>
  <si>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</si>
  <si>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</si>
  <si>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</si>
  <si>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</si>
  <si>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</si>
  <si>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</si>
  <si>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</si>
  <si>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</si>
  <si>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</si>
  <si>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</si>
  <si>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</si>
  <si>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</si>
  <si>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</si>
  <si>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PRESTAR CON PLENA AUTONOMINA ADMINISTRATIVA LOS SERVICIOS PROFESIONALES PARA LA PLANEACIÓN, EJECUCIÓN Y SEGUIMIENTO DE LOS DIFERENTES PROCESOS ORGANIZACIONALES QUE SE ADELANTAN EN EL GRUPO DE TALENTO HUMANO, CONFORME A LAS DIRECTRICES IMPARTIDAS DEL PLAN DE FORMALIZACION DEL EMPLEO PÚBLICO EN EQUIDAD Y EL CUMPLIMIENTO DE LA NORMATIVIDAD LEGAL VIGENTE PARA LA GESTION</t>
  </si>
  <si>
    <t>ADQUISICION DE LICENCIAMIENTO PARA LA INTEGRACIÓN DE FIRMAS ELECTRONICAS</t>
  </si>
  <si>
    <t>SERVICIOS DE CAPACITACIÓN PARA EL PERSONAL EMPLEADOS PÚBLICOS DEL INSTITUTO DE CASAS FISCALES DEL EJÉRCITO</t>
  </si>
  <si>
    <t>PRESTACIÓNDESERVICIOSPROFESIONALESPARALAACTUALIZACIÓNDELOSDOCUMENTOSDELSISTEMADEGESTIONDELACALIDADDELICF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</si>
</sst>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31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  <xf numFmtId="43" fontId="16" fillId="0" borderId="0" xfId="7" applyFont="1" applyFill="1" applyProtection="1">
      <protection locked="0"/>
    </xf>
    <xf numFmtId="43" fontId="16" fillId="0" borderId="0" xfId="0" applyNumberFormat="1" applyFont="1" applyFill="1" applyProtection="1">
      <protection locked="0"/>
    </xf>
  </cellXfs>
  <cellStyles count="16">
    <cellStyle name="BodyStyle" xfId="4" xr:uid="{00000000-0005-0000-0000-000000000000}"/>
    <cellStyle name="Énfasis1" xfId="2" builtinId="29"/>
    <cellStyle name="HeaderStyle" xfId="3" xr:uid="{00000000-0005-0000-0000-000002000000}"/>
    <cellStyle name="Millares" xfId="7" builtinId="3"/>
    <cellStyle name="Millares [0]" xfId="1" builtinId="6"/>
    <cellStyle name="Millares [0] 2" xfId="13" xr:uid="{00000000-0005-0000-0000-000005000000}"/>
    <cellStyle name="Millares 2" xfId="6" xr:uid="{00000000-0005-0000-0000-000006000000}"/>
    <cellStyle name="Millares 2 2" xfId="11" xr:uid="{00000000-0005-0000-0000-000007000000}"/>
    <cellStyle name="Millares 2 3" xfId="9" xr:uid="{00000000-0005-0000-0000-000008000000}"/>
    <cellStyle name="Moneda [0] 2" xfId="10" xr:uid="{00000000-0005-0000-0000-000009000000}"/>
    <cellStyle name="Moneda [0] 2 2" xfId="12" xr:uid="{00000000-0005-0000-0000-00000A000000}"/>
    <cellStyle name="Moneda [0] 3" xfId="14" xr:uid="{00000000-0005-0000-0000-00000B000000}"/>
    <cellStyle name="Moneda 2" xfId="15" xr:uid="{00000000-0005-0000-0000-00000C000000}"/>
    <cellStyle name="Normal" xfId="0" builtinId="0"/>
    <cellStyle name="Normal 2" xfId="5" xr:uid="{00000000-0005-0000-0000-00000E000000}"/>
    <cellStyle name="Normal 2 2" xfId="8" xr:uid="{00000000-0005-0000-0000-00000F000000}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Y351"/>
  <sheetViews>
    <sheetView showGridLines="0" tabSelected="1" topLeftCell="F1" zoomScale="90" zoomScaleNormal="90" workbookViewId="0">
      <pane ySplit="6" topLeftCell="A116" activePane="bottomLeft" state="frozen"/>
      <selection activeCell="M1" sqref="M1"/>
      <selection pane="bottomLeft" activeCell="M132" sqref="M132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22" width="11.5703125" style="22"/>
    <col min="23" max="24" width="17.42578125" style="22" bestFit="1" customWidth="1"/>
    <col min="25" max="25" width="16" style="22" bestFit="1" customWidth="1"/>
    <col min="26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113190</v>
      </c>
      <c r="S6" s="31" t="s">
        <v>113176</v>
      </c>
      <c r="T6" s="31" t="s">
        <v>113191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113284</v>
      </c>
      <c r="N13" s="92">
        <v>45442</v>
      </c>
      <c r="O13" s="92" t="s">
        <v>112996</v>
      </c>
      <c r="P13" s="93" t="s">
        <v>113177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113267</v>
      </c>
      <c r="M14" s="99" t="s">
        <v>113268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113269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113184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+R25+R89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527200000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113223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113144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113223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113178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113293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113179</v>
      </c>
      <c r="Q61" s="93" t="s">
        <v>113292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113223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+R70+R73+R76+R84</f>
        <v>156600000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113224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121000000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SUM(R78:R83)</f>
        <v>121000000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113192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18000000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113252</v>
      </c>
      <c r="M79" s="91" t="s">
        <v>113253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113254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/>
      <c r="L81" s="54">
        <v>43231500</v>
      </c>
      <c r="M81" s="91" t="s">
        <v>113310</v>
      </c>
      <c r="N81" s="92"/>
      <c r="O81" s="92"/>
      <c r="P81" s="93"/>
      <c r="Q81" s="93" t="s">
        <v>113103</v>
      </c>
      <c r="R81" s="94">
        <f>22000000-18000000</f>
        <v>4000000</v>
      </c>
      <c r="S81" s="102"/>
      <c r="T81" s="123"/>
      <c r="U81" s="97"/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113255</v>
      </c>
      <c r="N82" s="92">
        <v>45390</v>
      </c>
      <c r="O82" s="92" t="s">
        <v>113086</v>
      </c>
      <c r="P82" s="93" t="s">
        <v>112997</v>
      </c>
      <c r="Q82" s="93" t="s">
        <v>113037</v>
      </c>
      <c r="R82" s="94">
        <f>130000000-2000000-29000000</f>
        <v>99000000</v>
      </c>
      <c r="S82" s="124"/>
      <c r="T82" s="96"/>
      <c r="U82" s="97" t="s">
        <v>113002</v>
      </c>
    </row>
    <row r="83" spans="1:21" ht="30" x14ac:dyDescent="0.2">
      <c r="A83" s="322"/>
      <c r="B83" s="87"/>
      <c r="C83" s="88"/>
      <c r="D83" s="88"/>
      <c r="E83" s="88"/>
      <c r="F83" s="88"/>
      <c r="G83" s="88"/>
      <c r="H83" s="88"/>
      <c r="I83" s="88"/>
      <c r="J83" s="89"/>
      <c r="K83" s="89" t="s">
        <v>106736</v>
      </c>
      <c r="L83" s="54">
        <v>43231500</v>
      </c>
      <c r="M83" s="91" t="s">
        <v>113054</v>
      </c>
      <c r="N83" s="92">
        <v>45337</v>
      </c>
      <c r="O83" s="92" t="s">
        <v>113000</v>
      </c>
      <c r="P83" s="93" t="s">
        <v>112997</v>
      </c>
      <c r="Q83" s="93" t="s">
        <v>113037</v>
      </c>
      <c r="R83" s="317">
        <v>0</v>
      </c>
      <c r="S83" s="95"/>
      <c r="T83" s="96"/>
      <c r="U83" s="97" t="s">
        <v>113002</v>
      </c>
    </row>
    <row r="84" spans="1:21" ht="30" x14ac:dyDescent="0.2">
      <c r="A84" s="322"/>
      <c r="B84" s="71" t="s">
        <v>105516</v>
      </c>
      <c r="C84" s="71" t="s">
        <v>105573</v>
      </c>
      <c r="D84" s="71" t="s">
        <v>105573</v>
      </c>
      <c r="E84" s="71" t="s">
        <v>105520</v>
      </c>
      <c r="F84" s="71" t="s">
        <v>105541</v>
      </c>
      <c r="G84" s="71" t="s">
        <v>105553</v>
      </c>
      <c r="H84" s="71"/>
      <c r="I84" s="71"/>
      <c r="J84" s="71"/>
      <c r="K84" s="72"/>
      <c r="L84" s="72"/>
      <c r="M84" s="73" t="s">
        <v>106300</v>
      </c>
      <c r="N84" s="74"/>
      <c r="O84" s="74"/>
      <c r="P84" s="75"/>
      <c r="Q84" s="75"/>
      <c r="R84" s="76">
        <f>+R85+R87</f>
        <v>6000000</v>
      </c>
      <c r="S84" s="77"/>
      <c r="T84" s="77"/>
      <c r="U84" s="78"/>
    </row>
    <row r="85" spans="1:21" ht="60" x14ac:dyDescent="0.2">
      <c r="A85" s="322"/>
      <c r="B85" s="79" t="s">
        <v>105516</v>
      </c>
      <c r="C85" s="79" t="s">
        <v>105573</v>
      </c>
      <c r="D85" s="79" t="s">
        <v>105573</v>
      </c>
      <c r="E85" s="79" t="s">
        <v>105520</v>
      </c>
      <c r="F85" s="79" t="s">
        <v>105541</v>
      </c>
      <c r="G85" s="79" t="s">
        <v>105553</v>
      </c>
      <c r="H85" s="79" t="s">
        <v>105573</v>
      </c>
      <c r="I85" s="79"/>
      <c r="J85" s="79"/>
      <c r="K85" s="79"/>
      <c r="L85" s="79"/>
      <c r="M85" s="81" t="s">
        <v>106304</v>
      </c>
      <c r="N85" s="82"/>
      <c r="O85" s="82"/>
      <c r="P85" s="83"/>
      <c r="Q85" s="83"/>
      <c r="R85" s="84">
        <f>+R86</f>
        <v>0</v>
      </c>
      <c r="S85" s="85"/>
      <c r="T85" s="85"/>
      <c r="U85" s="100"/>
    </row>
    <row r="86" spans="1:21" ht="46.5" customHeight="1" x14ac:dyDescent="0.2">
      <c r="A86" s="322"/>
      <c r="B86" s="87"/>
      <c r="C86" s="88"/>
      <c r="D86" s="88"/>
      <c r="E86" s="88"/>
      <c r="F86" s="88"/>
      <c r="G86" s="88"/>
      <c r="H86" s="88"/>
      <c r="I86" s="88"/>
      <c r="J86" s="89"/>
      <c r="K86" s="89" t="s">
        <v>106745</v>
      </c>
      <c r="L86" s="90" t="s">
        <v>113223</v>
      </c>
      <c r="M86" s="91" t="s">
        <v>113057</v>
      </c>
      <c r="N86" s="92">
        <v>45345</v>
      </c>
      <c r="O86" s="92" t="s">
        <v>113036</v>
      </c>
      <c r="P86" s="93" t="s">
        <v>113027</v>
      </c>
      <c r="Q86" s="93" t="s">
        <v>112998</v>
      </c>
      <c r="R86" s="308">
        <v>0</v>
      </c>
      <c r="S86" s="95"/>
      <c r="T86" s="96"/>
      <c r="U86" s="97" t="s">
        <v>113018</v>
      </c>
    </row>
    <row r="87" spans="1:21" ht="30" x14ac:dyDescent="0.2">
      <c r="A87" s="322"/>
      <c r="B87" s="79" t="s">
        <v>105516</v>
      </c>
      <c r="C87" s="79" t="s">
        <v>105573</v>
      </c>
      <c r="D87" s="79" t="s">
        <v>105573</v>
      </c>
      <c r="E87" s="79" t="s">
        <v>105520</v>
      </c>
      <c r="F87" s="79" t="s">
        <v>105541</v>
      </c>
      <c r="G87" s="79" t="s">
        <v>105553</v>
      </c>
      <c r="H87" s="79" t="s">
        <v>105675</v>
      </c>
      <c r="I87" s="79"/>
      <c r="J87" s="79"/>
      <c r="K87" s="79"/>
      <c r="L87" s="79"/>
      <c r="M87" s="81" t="s">
        <v>106306</v>
      </c>
      <c r="N87" s="82"/>
      <c r="O87" s="82"/>
      <c r="P87" s="83"/>
      <c r="Q87" s="83"/>
      <c r="R87" s="84">
        <f>+R88</f>
        <v>6000000</v>
      </c>
      <c r="S87" s="85"/>
      <c r="T87" s="85"/>
      <c r="U87" s="100"/>
    </row>
    <row r="88" spans="1:21" x14ac:dyDescent="0.2">
      <c r="A88" s="322"/>
      <c r="B88" s="87"/>
      <c r="C88" s="88"/>
      <c r="D88" s="88"/>
      <c r="E88" s="88"/>
      <c r="F88" s="88"/>
      <c r="G88" s="88"/>
      <c r="H88" s="88"/>
      <c r="I88" s="88"/>
      <c r="J88" s="89"/>
      <c r="K88" s="89" t="s">
        <v>106745</v>
      </c>
      <c r="L88" s="118">
        <v>81141500</v>
      </c>
      <c r="M88" s="119" t="s">
        <v>113055</v>
      </c>
      <c r="N88" s="120">
        <v>45314</v>
      </c>
      <c r="O88" s="92" t="s">
        <v>113000</v>
      </c>
      <c r="P88" s="93" t="s">
        <v>112997</v>
      </c>
      <c r="Q88" s="93" t="s">
        <v>113051</v>
      </c>
      <c r="R88" s="94">
        <v>6000000</v>
      </c>
      <c r="S88" s="95"/>
      <c r="T88" s="96"/>
      <c r="U88" s="97" t="s">
        <v>113056</v>
      </c>
    </row>
    <row r="89" spans="1:21" x14ac:dyDescent="0.2">
      <c r="A89" s="322"/>
      <c r="B89" s="53" t="s">
        <v>105516</v>
      </c>
      <c r="C89" s="53" t="s">
        <v>105573</v>
      </c>
      <c r="D89" s="53" t="s">
        <v>105573</v>
      </c>
      <c r="E89" s="53" t="s">
        <v>105573</v>
      </c>
      <c r="F89" s="53"/>
      <c r="G89" s="53"/>
      <c r="H89" s="53"/>
      <c r="I89" s="53"/>
      <c r="J89" s="53"/>
      <c r="K89" s="54"/>
      <c r="L89" s="54"/>
      <c r="M89" s="55" t="s">
        <v>106777</v>
      </c>
      <c r="N89" s="56"/>
      <c r="O89" s="56"/>
      <c r="P89" s="57"/>
      <c r="Q89" s="57"/>
      <c r="R89" s="58">
        <f>+R90+R101+R107+R177+R192</f>
        <v>5362100000</v>
      </c>
      <c r="S89" s="59"/>
      <c r="T89" s="59"/>
      <c r="U89" s="104"/>
    </row>
    <row r="90" spans="1:21" ht="45" x14ac:dyDescent="0.2">
      <c r="A90" s="322"/>
      <c r="B90" s="62" t="s">
        <v>105516</v>
      </c>
      <c r="C90" s="62" t="s">
        <v>105573</v>
      </c>
      <c r="D90" s="62" t="s">
        <v>105573</v>
      </c>
      <c r="E90" s="62" t="s">
        <v>105573</v>
      </c>
      <c r="F90" s="62" t="s">
        <v>105547</v>
      </c>
      <c r="G90" s="62"/>
      <c r="H90" s="62"/>
      <c r="I90" s="62"/>
      <c r="J90" s="62"/>
      <c r="K90" s="63"/>
      <c r="L90" s="64"/>
      <c r="M90" s="65" t="s">
        <v>106817</v>
      </c>
      <c r="N90" s="66"/>
      <c r="O90" s="66"/>
      <c r="P90" s="67"/>
      <c r="Q90" s="67"/>
      <c r="R90" s="68">
        <f>+R91+R95+R98</f>
        <v>374700000</v>
      </c>
      <c r="S90" s="69"/>
      <c r="T90" s="69"/>
      <c r="U90" s="70"/>
    </row>
    <row r="91" spans="1:21" x14ac:dyDescent="0.2">
      <c r="A91" s="322"/>
      <c r="B91" s="71" t="s">
        <v>105516</v>
      </c>
      <c r="C91" s="71" t="s">
        <v>105573</v>
      </c>
      <c r="D91" s="71" t="s">
        <v>105573</v>
      </c>
      <c r="E91" s="71" t="s">
        <v>105573</v>
      </c>
      <c r="F91" s="71" t="s">
        <v>105547</v>
      </c>
      <c r="G91" s="71" t="s">
        <v>105541</v>
      </c>
      <c r="H91" s="71"/>
      <c r="I91" s="71"/>
      <c r="J91" s="71"/>
      <c r="K91" s="72"/>
      <c r="L91" s="72"/>
      <c r="M91" s="73" t="s">
        <v>106829</v>
      </c>
      <c r="N91" s="74"/>
      <c r="O91" s="74"/>
      <c r="P91" s="75"/>
      <c r="Q91" s="75"/>
      <c r="R91" s="76">
        <f>SUM(R92:R94)</f>
        <v>62000000</v>
      </c>
      <c r="S91" s="77"/>
      <c r="T91" s="77"/>
      <c r="U91" s="78"/>
    </row>
    <row r="92" spans="1:21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/>
      <c r="L92" s="90"/>
      <c r="M92" s="91" t="s">
        <v>113061</v>
      </c>
      <c r="N92" s="92" t="s">
        <v>113030</v>
      </c>
      <c r="O92" s="92" t="s">
        <v>113030</v>
      </c>
      <c r="P92" s="92" t="s">
        <v>113030</v>
      </c>
      <c r="Q92" s="92" t="s">
        <v>113030</v>
      </c>
      <c r="R92" s="94">
        <v>7000000</v>
      </c>
      <c r="S92" s="95"/>
      <c r="T92" s="96"/>
      <c r="U92" s="97" t="s">
        <v>113031</v>
      </c>
    </row>
    <row r="93" spans="1:21" ht="30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90" t="s">
        <v>113198</v>
      </c>
      <c r="M93" s="91" t="s">
        <v>113058</v>
      </c>
      <c r="N93" s="92">
        <v>45294</v>
      </c>
      <c r="O93" s="92" t="s">
        <v>113059</v>
      </c>
      <c r="P93" s="93" t="s">
        <v>113010</v>
      </c>
      <c r="Q93" s="93" t="s">
        <v>113007</v>
      </c>
      <c r="R93" s="94">
        <v>40000000</v>
      </c>
      <c r="S93" s="95"/>
      <c r="T93" s="96"/>
      <c r="U93" s="97" t="s">
        <v>113034</v>
      </c>
    </row>
    <row r="94" spans="1:21" x14ac:dyDescent="0.2">
      <c r="A94" s="322"/>
      <c r="B94" s="87"/>
      <c r="C94" s="88"/>
      <c r="D94" s="88"/>
      <c r="E94" s="88"/>
      <c r="F94" s="88"/>
      <c r="G94" s="88"/>
      <c r="H94" s="88"/>
      <c r="I94" s="88"/>
      <c r="J94" s="89"/>
      <c r="K94" s="89" t="s">
        <v>106828</v>
      </c>
      <c r="L94" s="125">
        <v>78111800</v>
      </c>
      <c r="M94" s="91" t="s">
        <v>113060</v>
      </c>
      <c r="N94" s="92">
        <v>45312</v>
      </c>
      <c r="O94" s="92" t="s">
        <v>113036</v>
      </c>
      <c r="P94" s="92" t="s">
        <v>113010</v>
      </c>
      <c r="Q94" s="92" t="s">
        <v>113051</v>
      </c>
      <c r="R94" s="94">
        <v>15000000</v>
      </c>
      <c r="S94" s="95"/>
      <c r="T94" s="96"/>
      <c r="U94" s="97" t="s">
        <v>113034</v>
      </c>
    </row>
    <row r="95" spans="1:21" x14ac:dyDescent="0.2">
      <c r="A95" s="322"/>
      <c r="B95" s="71" t="s">
        <v>105516</v>
      </c>
      <c r="C95" s="71" t="s">
        <v>105573</v>
      </c>
      <c r="D95" s="71" t="s">
        <v>105573</v>
      </c>
      <c r="E95" s="71" t="s">
        <v>105573</v>
      </c>
      <c r="F95" s="71" t="s">
        <v>105547</v>
      </c>
      <c r="G95" s="71" t="s">
        <v>105553</v>
      </c>
      <c r="H95" s="71"/>
      <c r="I95" s="71"/>
      <c r="J95" s="71"/>
      <c r="K95" s="72"/>
      <c r="L95" s="72"/>
      <c r="M95" s="73" t="s">
        <v>106857</v>
      </c>
      <c r="N95" s="74"/>
      <c r="O95" s="74"/>
      <c r="P95" s="75"/>
      <c r="Q95" s="75"/>
      <c r="R95" s="76">
        <f>SUM(R96:R97)</f>
        <v>12700000</v>
      </c>
      <c r="S95" s="77"/>
      <c r="T95" s="77"/>
      <c r="U95" s="78"/>
    </row>
    <row r="96" spans="1:21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/>
      <c r="L96" s="126"/>
      <c r="M96" s="91" t="s">
        <v>113064</v>
      </c>
      <c r="N96" s="92" t="s">
        <v>113030</v>
      </c>
      <c r="O96" s="92" t="s">
        <v>113030</v>
      </c>
      <c r="P96" s="93" t="s">
        <v>113030</v>
      </c>
      <c r="Q96" s="92" t="s">
        <v>113030</v>
      </c>
      <c r="R96" s="94">
        <v>1500000</v>
      </c>
      <c r="S96" s="95"/>
      <c r="T96" s="96"/>
      <c r="U96" s="97" t="s">
        <v>113031</v>
      </c>
    </row>
    <row r="97" spans="1:21" ht="30" x14ac:dyDescent="0.2">
      <c r="A97" s="322"/>
      <c r="B97" s="87"/>
      <c r="C97" s="88"/>
      <c r="D97" s="88"/>
      <c r="E97" s="88"/>
      <c r="F97" s="88"/>
      <c r="G97" s="88"/>
      <c r="H97" s="88"/>
      <c r="I97" s="88"/>
      <c r="J97" s="89"/>
      <c r="K97" s="89" t="s">
        <v>106856</v>
      </c>
      <c r="L97" s="125"/>
      <c r="M97" s="91" t="s">
        <v>113062</v>
      </c>
      <c r="N97" s="92">
        <v>45332</v>
      </c>
      <c r="O97" s="92" t="s">
        <v>113036</v>
      </c>
      <c r="P97" s="93" t="s">
        <v>113010</v>
      </c>
      <c r="Q97" s="92" t="s">
        <v>113300</v>
      </c>
      <c r="R97" s="94">
        <v>11200000</v>
      </c>
      <c r="S97" s="95"/>
      <c r="T97" s="96"/>
      <c r="U97" s="97" t="s">
        <v>113063</v>
      </c>
    </row>
    <row r="98" spans="1:21" ht="30" x14ac:dyDescent="0.2">
      <c r="A98" s="322"/>
      <c r="B98" s="71" t="s">
        <v>105516</v>
      </c>
      <c r="C98" s="71" t="s">
        <v>105573</v>
      </c>
      <c r="D98" s="71" t="s">
        <v>105573</v>
      </c>
      <c r="E98" s="71" t="s">
        <v>105573</v>
      </c>
      <c r="F98" s="71" t="s">
        <v>105547</v>
      </c>
      <c r="G98" s="71" t="s">
        <v>105556</v>
      </c>
      <c r="H98" s="71"/>
      <c r="I98" s="71"/>
      <c r="J98" s="71"/>
      <c r="K98" s="72"/>
      <c r="L98" s="72"/>
      <c r="M98" s="73" t="s">
        <v>106859</v>
      </c>
      <c r="N98" s="74"/>
      <c r="O98" s="74"/>
      <c r="P98" s="75"/>
      <c r="Q98" s="75"/>
      <c r="R98" s="76">
        <f>SUM(R99)</f>
        <v>300000000</v>
      </c>
      <c r="S98" s="77"/>
      <c r="T98" s="77"/>
      <c r="U98" s="78"/>
    </row>
    <row r="99" spans="1:21" ht="30" x14ac:dyDescent="0.2">
      <c r="A99" s="322"/>
      <c r="B99" s="79" t="s">
        <v>105516</v>
      </c>
      <c r="C99" s="79" t="s">
        <v>105573</v>
      </c>
      <c r="D99" s="79" t="s">
        <v>105573</v>
      </c>
      <c r="E99" s="79" t="s">
        <v>105573</v>
      </c>
      <c r="F99" s="79" t="s">
        <v>105547</v>
      </c>
      <c r="G99" s="79" t="s">
        <v>105556</v>
      </c>
      <c r="H99" s="79" t="s">
        <v>105520</v>
      </c>
      <c r="I99" s="79"/>
      <c r="J99" s="79"/>
      <c r="K99" s="79"/>
      <c r="L99" s="79"/>
      <c r="M99" s="81" t="s">
        <v>106861</v>
      </c>
      <c r="N99" s="82"/>
      <c r="O99" s="82"/>
      <c r="P99" s="83"/>
      <c r="Q99" s="83"/>
      <c r="R99" s="84">
        <f>SUM(R100)</f>
        <v>300000000</v>
      </c>
      <c r="S99" s="85"/>
      <c r="T99" s="85"/>
      <c r="U99" s="100"/>
    </row>
    <row r="100" spans="1:21" x14ac:dyDescent="0.2">
      <c r="A100" s="322"/>
      <c r="B100" s="87"/>
      <c r="C100" s="88"/>
      <c r="D100" s="88"/>
      <c r="E100" s="88"/>
      <c r="F100" s="88"/>
      <c r="G100" s="88"/>
      <c r="H100" s="88"/>
      <c r="I100" s="88"/>
      <c r="J100" s="89"/>
      <c r="K100" s="89" t="s">
        <v>106858</v>
      </c>
      <c r="L100" s="126"/>
      <c r="M100" s="91" t="s">
        <v>113065</v>
      </c>
      <c r="N100" s="92">
        <v>45293</v>
      </c>
      <c r="O100" s="92" t="s">
        <v>113059</v>
      </c>
      <c r="P100" s="93" t="s">
        <v>113010</v>
      </c>
      <c r="Q100" s="92" t="s">
        <v>113030</v>
      </c>
      <c r="R100" s="94">
        <v>300000000</v>
      </c>
      <c r="S100" s="95"/>
      <c r="T100" s="127"/>
      <c r="U100" s="97" t="s">
        <v>113063</v>
      </c>
    </row>
    <row r="101" spans="1:21" ht="30" x14ac:dyDescent="0.2">
      <c r="A101" s="322"/>
      <c r="B101" s="62" t="s">
        <v>105516</v>
      </c>
      <c r="C101" s="62" t="s">
        <v>105573</v>
      </c>
      <c r="D101" s="62" t="s">
        <v>105573</v>
      </c>
      <c r="E101" s="62" t="s">
        <v>105573</v>
      </c>
      <c r="F101" s="62" t="s">
        <v>105550</v>
      </c>
      <c r="G101" s="62"/>
      <c r="H101" s="62"/>
      <c r="I101" s="62"/>
      <c r="J101" s="62"/>
      <c r="K101" s="63"/>
      <c r="L101" s="64"/>
      <c r="M101" s="65" t="s">
        <v>106865</v>
      </c>
      <c r="N101" s="66"/>
      <c r="O101" s="66"/>
      <c r="P101" s="67"/>
      <c r="Q101" s="67"/>
      <c r="R101" s="68">
        <f>+R102</f>
        <v>3273000000</v>
      </c>
      <c r="S101" s="69"/>
      <c r="T101" s="69"/>
      <c r="U101" s="70"/>
    </row>
    <row r="102" spans="1:21" x14ac:dyDescent="0.2">
      <c r="A102" s="322"/>
      <c r="B102" s="71" t="s">
        <v>105516</v>
      </c>
      <c r="C102" s="71" t="s">
        <v>105573</v>
      </c>
      <c r="D102" s="71" t="s">
        <v>105573</v>
      </c>
      <c r="E102" s="71" t="s">
        <v>105573</v>
      </c>
      <c r="F102" s="71" t="s">
        <v>105550</v>
      </c>
      <c r="G102" s="71" t="s">
        <v>105528</v>
      </c>
      <c r="H102" s="71"/>
      <c r="I102" s="71"/>
      <c r="J102" s="71"/>
      <c r="K102" s="72"/>
      <c r="L102" s="72"/>
      <c r="M102" s="73" t="s">
        <v>106867</v>
      </c>
      <c r="N102" s="74"/>
      <c r="O102" s="74"/>
      <c r="P102" s="75"/>
      <c r="Q102" s="75"/>
      <c r="R102" s="76">
        <f>+R103</f>
        <v>3273000000</v>
      </c>
      <c r="S102" s="77"/>
      <c r="T102" s="77"/>
      <c r="U102" s="78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/>
      <c r="J103" s="79"/>
      <c r="K103" s="79"/>
      <c r="L103" s="79"/>
      <c r="M103" s="81" t="s">
        <v>106882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/>
      <c r="K104" s="79"/>
      <c r="L104" s="79"/>
      <c r="M104" s="81" t="s">
        <v>106892</v>
      </c>
      <c r="N104" s="82"/>
      <c r="O104" s="82"/>
      <c r="P104" s="83"/>
      <c r="Q104" s="83"/>
      <c r="R104" s="84">
        <f>+R105</f>
        <v>3273000000</v>
      </c>
      <c r="S104" s="85"/>
      <c r="T104" s="85"/>
      <c r="U104" s="100"/>
    </row>
    <row r="105" spans="1:21" ht="30" x14ac:dyDescent="0.2">
      <c r="A105" s="322"/>
      <c r="B105" s="79" t="s">
        <v>105516</v>
      </c>
      <c r="C105" s="79" t="s">
        <v>105573</v>
      </c>
      <c r="D105" s="79" t="s">
        <v>105573</v>
      </c>
      <c r="E105" s="79" t="s">
        <v>105573</v>
      </c>
      <c r="F105" s="79" t="s">
        <v>105550</v>
      </c>
      <c r="G105" s="79" t="s">
        <v>105528</v>
      </c>
      <c r="H105" s="79" t="s">
        <v>105675</v>
      </c>
      <c r="I105" s="79" t="s">
        <v>106217</v>
      </c>
      <c r="J105" s="79" t="s">
        <v>105917</v>
      </c>
      <c r="K105" s="79"/>
      <c r="L105" s="79"/>
      <c r="M105" s="81" t="s">
        <v>106900</v>
      </c>
      <c r="N105" s="82"/>
      <c r="O105" s="82"/>
      <c r="P105" s="83"/>
      <c r="Q105" s="83"/>
      <c r="R105" s="84">
        <f>SUM(R106:R106)</f>
        <v>3273000000</v>
      </c>
      <c r="S105" s="85"/>
      <c r="T105" s="85"/>
      <c r="U105" s="100"/>
    </row>
    <row r="106" spans="1:21" ht="30" x14ac:dyDescent="0.2">
      <c r="A106" s="322"/>
      <c r="B106" s="87"/>
      <c r="C106" s="88"/>
      <c r="D106" s="88"/>
      <c r="E106" s="88"/>
      <c r="F106" s="88"/>
      <c r="G106" s="88"/>
      <c r="H106" s="88"/>
      <c r="I106" s="88"/>
      <c r="J106" s="89"/>
      <c r="K106" s="89" t="s">
        <v>106866</v>
      </c>
      <c r="L106" s="128" t="s">
        <v>113066</v>
      </c>
      <c r="M106" s="129" t="s">
        <v>106900</v>
      </c>
      <c r="N106" s="120">
        <v>45293</v>
      </c>
      <c r="O106" s="92" t="s">
        <v>113059</v>
      </c>
      <c r="P106" s="130" t="s">
        <v>113067</v>
      </c>
      <c r="Q106" s="130" t="s">
        <v>113068</v>
      </c>
      <c r="R106" s="94">
        <v>3273000000</v>
      </c>
      <c r="S106" s="95"/>
      <c r="T106" s="94"/>
      <c r="U106" s="97" t="s">
        <v>112999</v>
      </c>
    </row>
    <row r="107" spans="1:21" ht="30" x14ac:dyDescent="0.2">
      <c r="A107" s="322"/>
      <c r="B107" s="62" t="s">
        <v>105516</v>
      </c>
      <c r="C107" s="62" t="s">
        <v>105573</v>
      </c>
      <c r="D107" s="62" t="s">
        <v>105573</v>
      </c>
      <c r="E107" s="62" t="s">
        <v>105573</v>
      </c>
      <c r="F107" s="62" t="s">
        <v>105553</v>
      </c>
      <c r="G107" s="62"/>
      <c r="H107" s="62"/>
      <c r="I107" s="62"/>
      <c r="J107" s="62"/>
      <c r="K107" s="63"/>
      <c r="L107" s="64"/>
      <c r="M107" s="65" t="s">
        <v>106978</v>
      </c>
      <c r="N107" s="66"/>
      <c r="O107" s="66"/>
      <c r="P107" s="67"/>
      <c r="Q107" s="67"/>
      <c r="R107" s="68">
        <f>+R108+R113+R152+R160+R164</f>
        <v>1308400000</v>
      </c>
      <c r="S107" s="69"/>
      <c r="T107" s="69"/>
      <c r="U107" s="70"/>
    </row>
    <row r="108" spans="1:21" x14ac:dyDescent="0.2">
      <c r="A108" s="322"/>
      <c r="B108" s="71" t="s">
        <v>105516</v>
      </c>
      <c r="C108" s="71" t="s">
        <v>105573</v>
      </c>
      <c r="D108" s="71" t="s">
        <v>105573</v>
      </c>
      <c r="E108" s="71" t="s">
        <v>105573</v>
      </c>
      <c r="F108" s="71" t="s">
        <v>105553</v>
      </c>
      <c r="G108" s="71" t="s">
        <v>105535</v>
      </c>
      <c r="H108" s="71"/>
      <c r="I108" s="71"/>
      <c r="J108" s="71"/>
      <c r="K108" s="72"/>
      <c r="L108" s="72"/>
      <c r="M108" s="73" t="s">
        <v>106988</v>
      </c>
      <c r="N108" s="74"/>
      <c r="O108" s="74"/>
      <c r="P108" s="75"/>
      <c r="Q108" s="75"/>
      <c r="R108" s="76">
        <f>+R109</f>
        <v>94050000</v>
      </c>
      <c r="S108" s="77"/>
      <c r="T108" s="77"/>
      <c r="U108" s="78"/>
    </row>
    <row r="109" spans="1:21" x14ac:dyDescent="0.2">
      <c r="A109" s="322"/>
      <c r="B109" s="79" t="s">
        <v>105516</v>
      </c>
      <c r="C109" s="79" t="s">
        <v>105573</v>
      </c>
      <c r="D109" s="79" t="s">
        <v>105573</v>
      </c>
      <c r="E109" s="79" t="s">
        <v>105573</v>
      </c>
      <c r="F109" s="79" t="s">
        <v>105553</v>
      </c>
      <c r="G109" s="79" t="s">
        <v>105535</v>
      </c>
      <c r="H109" s="79" t="s">
        <v>105520</v>
      </c>
      <c r="I109" s="79"/>
      <c r="J109" s="79"/>
      <c r="K109" s="79"/>
      <c r="L109" s="79"/>
      <c r="M109" s="81" t="s">
        <v>106990</v>
      </c>
      <c r="N109" s="82"/>
      <c r="O109" s="82"/>
      <c r="P109" s="83"/>
      <c r="Q109" s="83"/>
      <c r="R109" s="84">
        <f>SUM(R110:R112,)</f>
        <v>94050000</v>
      </c>
      <c r="S109" s="85"/>
      <c r="T109" s="85"/>
      <c r="U109" s="100"/>
    </row>
    <row r="110" spans="1:21" ht="9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113299</v>
      </c>
      <c r="M110" s="91" t="s">
        <v>113072</v>
      </c>
      <c r="N110" s="92">
        <v>45301</v>
      </c>
      <c r="O110" s="92" t="s">
        <v>113181</v>
      </c>
      <c r="P110" s="93" t="s">
        <v>113010</v>
      </c>
      <c r="Q110" s="93" t="s">
        <v>113070</v>
      </c>
      <c r="R110" s="94">
        <f>62700000/2</f>
        <v>31350000</v>
      </c>
      <c r="S110" s="124"/>
      <c r="T110" s="96"/>
      <c r="U110" s="97" t="s">
        <v>113073</v>
      </c>
    </row>
    <row r="111" spans="1:21" ht="60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113299</v>
      </c>
      <c r="M111" s="91" t="s">
        <v>113294</v>
      </c>
      <c r="N111" s="92">
        <v>45300</v>
      </c>
      <c r="O111" s="92" t="s">
        <v>113265</v>
      </c>
      <c r="P111" s="93" t="s">
        <v>113187</v>
      </c>
      <c r="Q111" s="93" t="s">
        <v>113052</v>
      </c>
      <c r="R111" s="94">
        <f>62700000/2</f>
        <v>31350000</v>
      </c>
      <c r="S111" s="124"/>
      <c r="T111" s="96"/>
      <c r="U111" s="97" t="s">
        <v>113071</v>
      </c>
    </row>
    <row r="112" spans="1:21" ht="105" x14ac:dyDescent="0.2">
      <c r="A112" s="322"/>
      <c r="B112" s="87"/>
      <c r="C112" s="88"/>
      <c r="D112" s="88"/>
      <c r="E112" s="88"/>
      <c r="F112" s="88"/>
      <c r="G112" s="88"/>
      <c r="H112" s="88"/>
      <c r="I112" s="88"/>
      <c r="J112" s="89"/>
      <c r="K112" s="89" t="s">
        <v>106987</v>
      </c>
      <c r="L112" s="90" t="s">
        <v>113299</v>
      </c>
      <c r="M112" s="91" t="s">
        <v>113295</v>
      </c>
      <c r="N112" s="92">
        <v>45300</v>
      </c>
      <c r="O112" s="92" t="s">
        <v>113265</v>
      </c>
      <c r="P112" s="93" t="s">
        <v>113296</v>
      </c>
      <c r="Q112" s="93" t="s">
        <v>113052</v>
      </c>
      <c r="R112" s="94">
        <f>31500000-150000</f>
        <v>31350000</v>
      </c>
      <c r="S112" s="124"/>
      <c r="T112" s="96"/>
      <c r="U112" s="97" t="s">
        <v>113071</v>
      </c>
    </row>
    <row r="113" spans="1:21" x14ac:dyDescent="0.2">
      <c r="A113" s="322"/>
      <c r="B113" s="71" t="s">
        <v>105516</v>
      </c>
      <c r="C113" s="71" t="s">
        <v>105573</v>
      </c>
      <c r="D113" s="71" t="s">
        <v>105573</v>
      </c>
      <c r="E113" s="71" t="s">
        <v>105573</v>
      </c>
      <c r="F113" s="71" t="s">
        <v>105553</v>
      </c>
      <c r="G113" s="71" t="s">
        <v>105538</v>
      </c>
      <c r="H113" s="71"/>
      <c r="I113" s="71"/>
      <c r="J113" s="71"/>
      <c r="K113" s="72"/>
      <c r="L113" s="72"/>
      <c r="M113" s="73" t="s">
        <v>106998</v>
      </c>
      <c r="N113" s="74"/>
      <c r="O113" s="74"/>
      <c r="P113" s="75"/>
      <c r="Q113" s="75"/>
      <c r="R113" s="76">
        <f>+R114</f>
        <v>1055118000</v>
      </c>
      <c r="S113" s="77"/>
      <c r="T113" s="77"/>
      <c r="U113" s="132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/>
      <c r="J114" s="79"/>
      <c r="K114" s="79"/>
      <c r="L114" s="79"/>
      <c r="M114" s="81" t="s">
        <v>107000</v>
      </c>
      <c r="N114" s="82"/>
      <c r="O114" s="82"/>
      <c r="P114" s="83"/>
      <c r="Q114" s="83"/>
      <c r="R114" s="84">
        <f>+R115+R143+R145</f>
        <v>1055118000</v>
      </c>
      <c r="S114" s="85"/>
      <c r="T114" s="85"/>
      <c r="U114" s="100"/>
    </row>
    <row r="115" spans="1:21" ht="30" x14ac:dyDescent="0.2">
      <c r="A115" s="322"/>
      <c r="B115" s="79" t="s">
        <v>105516</v>
      </c>
      <c r="C115" s="79" t="s">
        <v>105573</v>
      </c>
      <c r="D115" s="79" t="s">
        <v>105573</v>
      </c>
      <c r="E115" s="79" t="s">
        <v>105573</v>
      </c>
      <c r="F115" s="79" t="s">
        <v>105553</v>
      </c>
      <c r="G115" s="79" t="s">
        <v>105538</v>
      </c>
      <c r="H115" s="79" t="s">
        <v>105520</v>
      </c>
      <c r="I115" s="79" t="s">
        <v>105576</v>
      </c>
      <c r="J115" s="121"/>
      <c r="K115" s="121"/>
      <c r="L115" s="121"/>
      <c r="M115" s="81" t="s">
        <v>107002</v>
      </c>
      <c r="N115" s="82"/>
      <c r="O115" s="82"/>
      <c r="P115" s="83"/>
      <c r="Q115" s="110"/>
      <c r="R115" s="84">
        <f>SUM(R116:R141)</f>
        <v>970709000</v>
      </c>
      <c r="S115" s="85"/>
      <c r="T115" s="85"/>
      <c r="U115" s="100"/>
    </row>
    <row r="116" spans="1:21" ht="45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113197</v>
      </c>
      <c r="N116" s="92">
        <v>45322</v>
      </c>
      <c r="O116" s="92" t="s">
        <v>113036</v>
      </c>
      <c r="P116" s="93" t="s">
        <v>113021</v>
      </c>
      <c r="Q116" s="93" t="s">
        <v>113196</v>
      </c>
      <c r="R116" s="315">
        <v>0</v>
      </c>
      <c r="S116" s="131"/>
      <c r="T116" s="133"/>
      <c r="U116" s="97" t="s">
        <v>113079</v>
      </c>
    </row>
    <row r="117" spans="1:21" ht="68.25" customHeight="1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81101500</v>
      </c>
      <c r="M117" s="101" t="s">
        <v>113297</v>
      </c>
      <c r="N117" s="92">
        <v>45322</v>
      </c>
      <c r="O117" s="92" t="s">
        <v>113036</v>
      </c>
      <c r="P117" s="93" t="s">
        <v>113021</v>
      </c>
      <c r="Q117" s="93" t="s">
        <v>113196</v>
      </c>
      <c r="R117" s="94">
        <f>(25909000+150000)-22000000</f>
        <v>4059000</v>
      </c>
      <c r="S117" s="134"/>
      <c r="T117" s="103"/>
      <c r="U117" s="99" t="s">
        <v>113079</v>
      </c>
    </row>
    <row r="118" spans="1:21" ht="105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113309</v>
      </c>
      <c r="N118" s="92">
        <v>45321</v>
      </c>
      <c r="O118" s="92" t="s">
        <v>113059</v>
      </c>
      <c r="P118" s="93" t="s">
        <v>113010</v>
      </c>
      <c r="Q118" s="93" t="s">
        <v>113070</v>
      </c>
      <c r="R118" s="94">
        <f>62700000/2</f>
        <v>31350000</v>
      </c>
      <c r="S118" s="95"/>
      <c r="T118" s="96"/>
      <c r="U118" s="99" t="s">
        <v>113011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54">
        <v>80101500</v>
      </c>
      <c r="M119" s="101" t="s">
        <v>113076</v>
      </c>
      <c r="N119" s="92">
        <v>45545</v>
      </c>
      <c r="O119" s="92" t="s">
        <v>113077</v>
      </c>
      <c r="P119" s="93" t="s">
        <v>113078</v>
      </c>
      <c r="Q119" s="93" t="s">
        <v>113070</v>
      </c>
      <c r="R119" s="94">
        <v>23000000</v>
      </c>
      <c r="S119" s="95"/>
      <c r="T119" s="96"/>
      <c r="U119" s="91" t="s">
        <v>113018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90" t="s">
        <v>113083</v>
      </c>
      <c r="M120" s="101" t="s">
        <v>113084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40000000</v>
      </c>
      <c r="S120" s="95"/>
      <c r="T120" s="96"/>
      <c r="U120" s="91" t="s">
        <v>113002</v>
      </c>
    </row>
    <row r="121" spans="1:21" ht="30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81111800</v>
      </c>
      <c r="M121" s="101" t="s">
        <v>113085</v>
      </c>
      <c r="N121" s="92">
        <v>45308</v>
      </c>
      <c r="O121" s="92" t="s">
        <v>113036</v>
      </c>
      <c r="P121" s="93" t="s">
        <v>113021</v>
      </c>
      <c r="Q121" s="93" t="s">
        <v>112998</v>
      </c>
      <c r="R121" s="94">
        <f>71000000+29000000</f>
        <v>100000000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113087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(4100000*11)/2</f>
        <v>22550000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113256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66000000/2</f>
        <v>33000000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113257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f>88000000/2</f>
        <v>44000000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113257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v>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113258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f>82500000/2</f>
        <v>41250000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113259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113259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45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113260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v>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81111500</v>
      </c>
      <c r="M130" s="101" t="s">
        <v>113088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f>62700000/2</f>
        <v>31350000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113089</v>
      </c>
      <c r="N131" s="92">
        <v>45300</v>
      </c>
      <c r="O131" s="92" t="s">
        <v>113036</v>
      </c>
      <c r="P131" s="93" t="s">
        <v>113010</v>
      </c>
      <c r="Q131" s="93" t="s">
        <v>113052</v>
      </c>
      <c r="R131" s="94">
        <v>14000000</v>
      </c>
      <c r="S131" s="95"/>
      <c r="T131" s="96"/>
      <c r="U131" s="91" t="s">
        <v>113002</v>
      </c>
    </row>
    <row r="132" spans="1:21" ht="30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>
        <v>81112200</v>
      </c>
      <c r="M132" s="101" t="s">
        <v>113090</v>
      </c>
      <c r="N132" s="92">
        <v>45454</v>
      </c>
      <c r="O132" s="92" t="s">
        <v>112996</v>
      </c>
      <c r="P132" s="93" t="s">
        <v>112997</v>
      </c>
      <c r="Q132" s="93" t="s">
        <v>113052</v>
      </c>
      <c r="R132" s="94">
        <v>92000000</v>
      </c>
      <c r="S132" s="95"/>
      <c r="T132" s="96"/>
      <c r="U132" s="91" t="s">
        <v>113002</v>
      </c>
    </row>
    <row r="133" spans="1:21" ht="75" x14ac:dyDescent="0.2">
      <c r="A133" s="322"/>
      <c r="B133" s="87"/>
      <c r="C133" s="88"/>
      <c r="D133" s="88"/>
      <c r="E133" s="88"/>
      <c r="F133" s="88"/>
      <c r="G133" s="88"/>
      <c r="H133" s="88"/>
      <c r="I133" s="88"/>
      <c r="J133" s="89"/>
      <c r="K133" s="89" t="s">
        <v>106997</v>
      </c>
      <c r="L133" s="54" t="s">
        <v>113091</v>
      </c>
      <c r="M133" s="101" t="s">
        <v>113092</v>
      </c>
      <c r="N133" s="92">
        <v>45308</v>
      </c>
      <c r="O133" s="92" t="s">
        <v>113005</v>
      </c>
      <c r="P133" s="93" t="s">
        <v>113001</v>
      </c>
      <c r="Q133" s="93" t="s">
        <v>113093</v>
      </c>
      <c r="R133" s="94">
        <f>290000000-30000000</f>
        <v>260000000</v>
      </c>
      <c r="S133" s="95"/>
      <c r="T133" s="96"/>
      <c r="U133" s="91" t="s">
        <v>113002</v>
      </c>
    </row>
    <row r="134" spans="1:21" ht="3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54">
        <v>81111800</v>
      </c>
      <c r="M134" s="91" t="s">
        <v>113261</v>
      </c>
      <c r="N134" s="92">
        <v>45308</v>
      </c>
      <c r="O134" s="92" t="s">
        <v>113036</v>
      </c>
      <c r="P134" s="93" t="s">
        <v>112997</v>
      </c>
      <c r="Q134" s="93" t="s">
        <v>113052</v>
      </c>
      <c r="R134" s="94">
        <f>65000000+30000000</f>
        <v>95000000</v>
      </c>
      <c r="S134" s="95"/>
      <c r="T134" s="96"/>
      <c r="U134" s="91" t="s">
        <v>113002</v>
      </c>
    </row>
    <row r="135" spans="1:21" ht="120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113298</v>
      </c>
      <c r="M135" s="91" t="s">
        <v>113289</v>
      </c>
      <c r="N135" s="92">
        <v>45300</v>
      </c>
      <c r="O135" s="92" t="s">
        <v>113265</v>
      </c>
      <c r="P135" s="93" t="s">
        <v>113187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113299</v>
      </c>
      <c r="M136" s="91" t="s">
        <v>113290</v>
      </c>
      <c r="N136" s="92">
        <v>45300</v>
      </c>
      <c r="O136" s="92" t="s">
        <v>113265</v>
      </c>
      <c r="P136" s="93" t="s">
        <v>113187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35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113299</v>
      </c>
      <c r="M137" s="91" t="s">
        <v>113290</v>
      </c>
      <c r="N137" s="92">
        <v>45300</v>
      </c>
      <c r="O137" s="92" t="s">
        <v>113265</v>
      </c>
      <c r="P137" s="93" t="s">
        <v>113187</v>
      </c>
      <c r="Q137" s="93" t="s">
        <v>113052</v>
      </c>
      <c r="R137" s="94">
        <f>62700000/2</f>
        <v>31350000</v>
      </c>
      <c r="S137" s="95"/>
      <c r="T137" s="96"/>
      <c r="U137" s="91" t="s">
        <v>113074</v>
      </c>
    </row>
    <row r="138" spans="1:21" ht="120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 t="s">
        <v>113298</v>
      </c>
      <c r="M138" s="91" t="s">
        <v>113291</v>
      </c>
      <c r="N138" s="92">
        <v>45300</v>
      </c>
      <c r="O138" s="92" t="s">
        <v>113265</v>
      </c>
      <c r="P138" s="93" t="s">
        <v>113187</v>
      </c>
      <c r="Q138" s="93" t="s">
        <v>113052</v>
      </c>
      <c r="R138" s="94">
        <f>45100000/2</f>
        <v>22550000</v>
      </c>
      <c r="S138" s="95"/>
      <c r="T138" s="96"/>
      <c r="U138" s="91" t="s">
        <v>113074</v>
      </c>
    </row>
    <row r="139" spans="1:21" ht="135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90">
        <v>80101500</v>
      </c>
      <c r="M139" s="91" t="s">
        <v>113075</v>
      </c>
      <c r="N139" s="92">
        <v>45300</v>
      </c>
      <c r="O139" s="92" t="s">
        <v>113265</v>
      </c>
      <c r="P139" s="93" t="s">
        <v>113188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120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113266</v>
      </c>
      <c r="N140" s="92">
        <v>45300</v>
      </c>
      <c r="O140" s="92" t="s">
        <v>113265</v>
      </c>
      <c r="P140" s="93" t="s">
        <v>113188</v>
      </c>
      <c r="Q140" s="93" t="s">
        <v>113052</v>
      </c>
      <c r="R140" s="94">
        <v>0</v>
      </c>
      <c r="S140" s="95"/>
      <c r="T140" s="96"/>
      <c r="U140" s="91" t="s">
        <v>113074</v>
      </c>
    </row>
    <row r="141" spans="1:21" ht="75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 t="s">
        <v>106997</v>
      </c>
      <c r="L141" s="126">
        <v>80101500</v>
      </c>
      <c r="M141" s="91" t="s">
        <v>113080</v>
      </c>
      <c r="N141" s="92">
        <v>45300</v>
      </c>
      <c r="O141" s="92" t="s">
        <v>113181</v>
      </c>
      <c r="P141" s="93" t="s">
        <v>113010</v>
      </c>
      <c r="Q141" s="93" t="s">
        <v>113070</v>
      </c>
      <c r="R141" s="94">
        <f>45100000/2</f>
        <v>22550000</v>
      </c>
      <c r="S141" s="95"/>
      <c r="T141" s="96"/>
      <c r="U141" s="91" t="s">
        <v>113081</v>
      </c>
    </row>
    <row r="142" spans="1:21" ht="30" x14ac:dyDescent="0.2">
      <c r="A142" s="322"/>
      <c r="B142" s="135"/>
      <c r="C142" s="136"/>
      <c r="D142" s="136"/>
      <c r="E142" s="136"/>
      <c r="F142" s="136"/>
      <c r="G142" s="136"/>
      <c r="H142" s="136"/>
      <c r="I142" s="136"/>
      <c r="J142" s="137"/>
      <c r="K142" s="137"/>
      <c r="L142" s="318">
        <v>80101500</v>
      </c>
      <c r="M142" s="129" t="s">
        <v>113288</v>
      </c>
      <c r="N142" s="92">
        <v>45108</v>
      </c>
      <c r="O142" s="92" t="s">
        <v>112996</v>
      </c>
      <c r="P142" s="93" t="s">
        <v>112997</v>
      </c>
      <c r="Q142" s="93"/>
      <c r="R142" s="308">
        <v>0</v>
      </c>
      <c r="S142" s="95"/>
      <c r="T142" s="96"/>
      <c r="U142" s="91"/>
    </row>
    <row r="143" spans="1:21" x14ac:dyDescent="0.2">
      <c r="A143" s="322"/>
      <c r="B143" s="79" t="s">
        <v>105516</v>
      </c>
      <c r="C143" s="79" t="s">
        <v>105573</v>
      </c>
      <c r="D143" s="79" t="s">
        <v>105573</v>
      </c>
      <c r="E143" s="79" t="s">
        <v>105573</v>
      </c>
      <c r="F143" s="79" t="s">
        <v>105553</v>
      </c>
      <c r="G143" s="79" t="s">
        <v>105538</v>
      </c>
      <c r="H143" s="79" t="s">
        <v>105520</v>
      </c>
      <c r="I143" s="79" t="s">
        <v>105579</v>
      </c>
      <c r="J143" s="79"/>
      <c r="K143" s="79"/>
      <c r="L143" s="79"/>
      <c r="M143" s="81" t="s">
        <v>107004</v>
      </c>
      <c r="N143" s="82"/>
      <c r="O143" s="82"/>
      <c r="P143" s="83"/>
      <c r="Q143" s="110"/>
      <c r="R143" s="84">
        <f>SUM(R144)</f>
        <v>0</v>
      </c>
      <c r="S143" s="85"/>
      <c r="T143" s="85"/>
      <c r="U143" s="100"/>
    </row>
    <row r="144" spans="1:21" ht="30" x14ac:dyDescent="0.2">
      <c r="A144" s="322"/>
      <c r="B144" s="87"/>
      <c r="C144" s="88"/>
      <c r="D144" s="88"/>
      <c r="E144" s="88"/>
      <c r="F144" s="88"/>
      <c r="G144" s="88"/>
      <c r="H144" s="88"/>
      <c r="I144" s="88"/>
      <c r="J144" s="89"/>
      <c r="K144" s="89" t="s">
        <v>106997</v>
      </c>
      <c r="L144" s="54">
        <v>80101500</v>
      </c>
      <c r="M144" s="101" t="s">
        <v>113082</v>
      </c>
      <c r="N144" s="92">
        <v>45565</v>
      </c>
      <c r="O144" s="92" t="s">
        <v>113069</v>
      </c>
      <c r="P144" s="93" t="s">
        <v>112997</v>
      </c>
      <c r="Q144" s="93" t="s">
        <v>113070</v>
      </c>
      <c r="R144" s="308">
        <v>0</v>
      </c>
      <c r="S144" s="95"/>
      <c r="T144" s="96"/>
      <c r="U144" s="97" t="s">
        <v>113011</v>
      </c>
    </row>
    <row r="145" spans="1:21" ht="30" x14ac:dyDescent="0.2">
      <c r="A145" s="322"/>
      <c r="B145" s="79" t="s">
        <v>105516</v>
      </c>
      <c r="C145" s="79" t="s">
        <v>105573</v>
      </c>
      <c r="D145" s="79" t="s">
        <v>105573</v>
      </c>
      <c r="E145" s="79" t="s">
        <v>105573</v>
      </c>
      <c r="F145" s="79" t="s">
        <v>105553</v>
      </c>
      <c r="G145" s="79" t="s">
        <v>105538</v>
      </c>
      <c r="H145" s="79" t="s">
        <v>105520</v>
      </c>
      <c r="I145" s="79" t="s">
        <v>106211</v>
      </c>
      <c r="J145" s="79"/>
      <c r="K145" s="79"/>
      <c r="L145" s="79"/>
      <c r="M145" s="81" t="s">
        <v>107006</v>
      </c>
      <c r="N145" s="82"/>
      <c r="O145" s="82"/>
      <c r="P145" s="83"/>
      <c r="Q145" s="83"/>
      <c r="R145" s="84">
        <f>SUM(R146:R151)</f>
        <v>84409000</v>
      </c>
      <c r="S145" s="85"/>
      <c r="T145" s="85"/>
      <c r="U145" s="100"/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80101500</v>
      </c>
      <c r="M146" s="91" t="s">
        <v>113193</v>
      </c>
      <c r="N146" s="92">
        <v>45300</v>
      </c>
      <c r="O146" s="92" t="s">
        <v>113036</v>
      </c>
      <c r="P146" s="93" t="s">
        <v>113182</v>
      </c>
      <c r="Q146" s="93" t="s">
        <v>113052</v>
      </c>
      <c r="R146" s="94">
        <f>8200000-600000</f>
        <v>7600000</v>
      </c>
      <c r="S146" s="95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113193</v>
      </c>
      <c r="N147" s="92">
        <v>45300</v>
      </c>
      <c r="O147" s="92" t="s">
        <v>113059</v>
      </c>
      <c r="P147" s="93" t="s">
        <v>113010</v>
      </c>
      <c r="Q147" s="93" t="s">
        <v>113052</v>
      </c>
      <c r="R147" s="94">
        <v>28600000</v>
      </c>
      <c r="S147" s="124"/>
      <c r="T147" s="96"/>
      <c r="U147" s="97" t="s">
        <v>113053</v>
      </c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113193</v>
      </c>
      <c r="N148" s="92">
        <v>45300</v>
      </c>
      <c r="O148" s="92" t="s">
        <v>113059</v>
      </c>
      <c r="P148" s="93" t="s">
        <v>113003</v>
      </c>
      <c r="Q148" s="93" t="s">
        <v>113052</v>
      </c>
      <c r="R148" s="94">
        <v>24409000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113193</v>
      </c>
      <c r="N149" s="92">
        <v>45300</v>
      </c>
      <c r="O149" s="92" t="s">
        <v>113059</v>
      </c>
      <c r="P149" s="93"/>
      <c r="Q149" s="93" t="s">
        <v>113052</v>
      </c>
      <c r="R149" s="94">
        <v>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91" t="s">
        <v>113193</v>
      </c>
      <c r="N150" s="92">
        <v>45300</v>
      </c>
      <c r="O150" s="92" t="s">
        <v>113059</v>
      </c>
      <c r="P150" s="93" t="s">
        <v>113189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87"/>
      <c r="C151" s="88"/>
      <c r="D151" s="88"/>
      <c r="E151" s="88"/>
      <c r="F151" s="88"/>
      <c r="G151" s="88"/>
      <c r="H151" s="88"/>
      <c r="I151" s="88"/>
      <c r="J151" s="89"/>
      <c r="K151" s="89" t="s">
        <v>106997</v>
      </c>
      <c r="L151" s="90">
        <v>80111600</v>
      </c>
      <c r="M151" s="101" t="s">
        <v>113193</v>
      </c>
      <c r="N151" s="92">
        <v>45300</v>
      </c>
      <c r="O151" s="92" t="s">
        <v>113059</v>
      </c>
      <c r="P151" s="93" t="s">
        <v>113189</v>
      </c>
      <c r="Q151" s="93" t="s">
        <v>113052</v>
      </c>
      <c r="R151" s="94">
        <v>11900000</v>
      </c>
      <c r="S151" s="95"/>
      <c r="T151" s="96"/>
      <c r="U151" s="97" t="s">
        <v>113053</v>
      </c>
    </row>
    <row r="152" spans="1:21" ht="30" x14ac:dyDescent="0.2">
      <c r="A152" s="322"/>
      <c r="B152" s="71" t="s">
        <v>105516</v>
      </c>
      <c r="C152" s="71" t="s">
        <v>105573</v>
      </c>
      <c r="D152" s="71" t="s">
        <v>105573</v>
      </c>
      <c r="E152" s="71" t="s">
        <v>105573</v>
      </c>
      <c r="F152" s="71" t="s">
        <v>105553</v>
      </c>
      <c r="G152" s="71" t="s">
        <v>105541</v>
      </c>
      <c r="H152" s="71"/>
      <c r="I152" s="71"/>
      <c r="J152" s="71"/>
      <c r="K152" s="72"/>
      <c r="L152" s="72"/>
      <c r="M152" s="73" t="s">
        <v>107040</v>
      </c>
      <c r="N152" s="74"/>
      <c r="O152" s="74"/>
      <c r="P152" s="75"/>
      <c r="Q152" s="75"/>
      <c r="R152" s="76">
        <f>+R153+R157</f>
        <v>42320000</v>
      </c>
      <c r="S152" s="77"/>
      <c r="T152" s="77"/>
      <c r="U152" s="78"/>
    </row>
    <row r="153" spans="1:21" x14ac:dyDescent="0.2">
      <c r="A153" s="322"/>
      <c r="B153" s="79" t="s">
        <v>105516</v>
      </c>
      <c r="C153" s="79" t="s">
        <v>105573</v>
      </c>
      <c r="D153" s="79" t="s">
        <v>105573</v>
      </c>
      <c r="E153" s="79" t="s">
        <v>105573</v>
      </c>
      <c r="F153" s="79" t="s">
        <v>105553</v>
      </c>
      <c r="G153" s="79" t="s">
        <v>105541</v>
      </c>
      <c r="H153" s="79" t="s">
        <v>105520</v>
      </c>
      <c r="I153" s="79"/>
      <c r="J153" s="79"/>
      <c r="K153" s="79"/>
      <c r="L153" s="79"/>
      <c r="M153" s="81" t="s">
        <v>107042</v>
      </c>
      <c r="N153" s="82"/>
      <c r="O153" s="82"/>
      <c r="P153" s="83"/>
      <c r="Q153" s="83"/>
      <c r="R153" s="84">
        <f>SUM(R154+R155+R156)</f>
        <v>33800000</v>
      </c>
      <c r="S153" s="85"/>
      <c r="T153" s="85"/>
      <c r="U153" s="100"/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91" t="s">
        <v>113097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15000000</v>
      </c>
      <c r="S154" s="95"/>
      <c r="T154" s="127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113098</v>
      </c>
      <c r="N155" s="92">
        <v>45293</v>
      </c>
      <c r="O155" s="92" t="s">
        <v>113059</v>
      </c>
      <c r="P155" s="130" t="s">
        <v>113067</v>
      </c>
      <c r="Q155" s="93" t="s">
        <v>113030</v>
      </c>
      <c r="R155" s="94">
        <v>16800000</v>
      </c>
      <c r="S155" s="95"/>
      <c r="T155" s="96"/>
      <c r="U155" s="97" t="s">
        <v>113063</v>
      </c>
    </row>
    <row r="156" spans="1:21" x14ac:dyDescent="0.2">
      <c r="A156" s="322"/>
      <c r="B156" s="87"/>
      <c r="C156" s="88"/>
      <c r="D156" s="88"/>
      <c r="E156" s="88"/>
      <c r="F156" s="88"/>
      <c r="G156" s="88"/>
      <c r="H156" s="88"/>
      <c r="I156" s="88"/>
      <c r="J156" s="89"/>
      <c r="K156" s="89" t="s">
        <v>107039</v>
      </c>
      <c r="L156" s="54"/>
      <c r="M156" s="101" t="s">
        <v>113099</v>
      </c>
      <c r="N156" s="92" t="s">
        <v>113030</v>
      </c>
      <c r="O156" s="92" t="s">
        <v>113030</v>
      </c>
      <c r="P156" s="93" t="s">
        <v>113030</v>
      </c>
      <c r="Q156" s="93" t="s">
        <v>113030</v>
      </c>
      <c r="R156" s="94">
        <v>2000000</v>
      </c>
      <c r="S156" s="95"/>
      <c r="T156" s="127"/>
      <c r="U156" s="97" t="s">
        <v>113031</v>
      </c>
    </row>
    <row r="157" spans="1:21" x14ac:dyDescent="0.2">
      <c r="A157" s="322"/>
      <c r="B157" s="79" t="s">
        <v>105516</v>
      </c>
      <c r="C157" s="79" t="s">
        <v>105573</v>
      </c>
      <c r="D157" s="79" t="s">
        <v>105573</v>
      </c>
      <c r="E157" s="79" t="s">
        <v>105573</v>
      </c>
      <c r="F157" s="79" t="s">
        <v>105553</v>
      </c>
      <c r="G157" s="79" t="s">
        <v>105541</v>
      </c>
      <c r="H157" s="79" t="s">
        <v>105573</v>
      </c>
      <c r="I157" s="79"/>
      <c r="J157" s="79"/>
      <c r="K157" s="79"/>
      <c r="L157" s="79"/>
      <c r="M157" s="81" t="s">
        <v>107044</v>
      </c>
      <c r="N157" s="82"/>
      <c r="O157" s="82"/>
      <c r="P157" s="83"/>
      <c r="Q157" s="83"/>
      <c r="R157" s="84">
        <f>SUM(R158+R159)</f>
        <v>8520000</v>
      </c>
      <c r="S157" s="85"/>
      <c r="T157" s="85"/>
      <c r="U157" s="100"/>
    </row>
    <row r="158" spans="1:21" ht="45.7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91" t="s">
        <v>113262</v>
      </c>
      <c r="N158" s="92">
        <v>45414</v>
      </c>
      <c r="O158" s="92" t="s">
        <v>113184</v>
      </c>
      <c r="P158" s="93" t="s">
        <v>113001</v>
      </c>
      <c r="Q158" s="93" t="s">
        <v>113040</v>
      </c>
      <c r="R158" s="94">
        <f>4200000+600000</f>
        <v>4800000</v>
      </c>
      <c r="S158" s="95" t="s">
        <v>105533</v>
      </c>
      <c r="T158" s="309">
        <v>5088000</v>
      </c>
      <c r="U158" s="97" t="s">
        <v>113002</v>
      </c>
    </row>
    <row r="159" spans="1:21" ht="45" customHeight="1" x14ac:dyDescent="0.2">
      <c r="A159" s="322"/>
      <c r="B159" s="328"/>
      <c r="C159" s="89"/>
      <c r="D159" s="89"/>
      <c r="E159" s="89"/>
      <c r="F159" s="89"/>
      <c r="G159" s="89"/>
      <c r="H159" s="89"/>
      <c r="I159" s="89"/>
      <c r="J159" s="89"/>
      <c r="K159" s="89" t="s">
        <v>107039</v>
      </c>
      <c r="L159" s="54">
        <v>81112100</v>
      </c>
      <c r="M159" s="101" t="s">
        <v>113100</v>
      </c>
      <c r="N159" s="92">
        <v>45422</v>
      </c>
      <c r="O159" s="92" t="s">
        <v>112996</v>
      </c>
      <c r="P159" s="130" t="s">
        <v>113067</v>
      </c>
      <c r="Q159" s="93" t="s">
        <v>113040</v>
      </c>
      <c r="R159" s="94">
        <v>3720000</v>
      </c>
      <c r="S159" s="95"/>
      <c r="T159" s="94"/>
      <c r="U159" s="97" t="s">
        <v>113002</v>
      </c>
    </row>
    <row r="160" spans="1:21" x14ac:dyDescent="0.2">
      <c r="A160" s="322"/>
      <c r="B160" s="71" t="s">
        <v>105516</v>
      </c>
      <c r="C160" s="71" t="s">
        <v>105573</v>
      </c>
      <c r="D160" s="71" t="s">
        <v>105573</v>
      </c>
      <c r="E160" s="71" t="s">
        <v>105573</v>
      </c>
      <c r="F160" s="71" t="s">
        <v>105553</v>
      </c>
      <c r="G160" s="139" t="s">
        <v>105544</v>
      </c>
      <c r="H160" s="71"/>
      <c r="I160" s="71"/>
      <c r="J160" s="71"/>
      <c r="K160" s="72"/>
      <c r="L160" s="72"/>
      <c r="M160" s="73" t="s">
        <v>107054</v>
      </c>
      <c r="N160" s="74"/>
      <c r="O160" s="74"/>
      <c r="P160" s="75"/>
      <c r="Q160" s="75"/>
      <c r="R160" s="76">
        <f>+R161</f>
        <v>0</v>
      </c>
      <c r="S160" s="77"/>
      <c r="T160" s="77"/>
      <c r="U160" s="78"/>
    </row>
    <row r="161" spans="1:2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/>
      <c r="J161" s="79"/>
      <c r="K161" s="79"/>
      <c r="L161" s="79"/>
      <c r="M161" s="81" t="s">
        <v>107066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x14ac:dyDescent="0.2">
      <c r="A162" s="322"/>
      <c r="B162" s="79" t="s">
        <v>105516</v>
      </c>
      <c r="C162" s="79" t="s">
        <v>105573</v>
      </c>
      <c r="D162" s="79" t="s">
        <v>105573</v>
      </c>
      <c r="E162" s="79" t="s">
        <v>105573</v>
      </c>
      <c r="F162" s="79" t="s">
        <v>105553</v>
      </c>
      <c r="G162" s="80" t="s">
        <v>105544</v>
      </c>
      <c r="H162" s="80" t="s">
        <v>106109</v>
      </c>
      <c r="I162" s="79">
        <v>3</v>
      </c>
      <c r="J162" s="79"/>
      <c r="K162" s="79"/>
      <c r="L162" s="79"/>
      <c r="M162" s="81" t="s">
        <v>113101</v>
      </c>
      <c r="N162" s="82"/>
      <c r="O162" s="82"/>
      <c r="P162" s="83"/>
      <c r="Q162" s="83"/>
      <c r="R162" s="84">
        <f>+R163</f>
        <v>0</v>
      </c>
      <c r="S162" s="85"/>
      <c r="T162" s="85"/>
      <c r="U162" s="100"/>
    </row>
    <row r="163" spans="1:21" ht="30" x14ac:dyDescent="0.2">
      <c r="A163" s="322"/>
      <c r="B163" s="87"/>
      <c r="C163" s="88"/>
      <c r="D163" s="88"/>
      <c r="E163" s="88"/>
      <c r="F163" s="88"/>
      <c r="G163" s="88"/>
      <c r="H163" s="88"/>
      <c r="I163" s="88"/>
      <c r="J163" s="89"/>
      <c r="K163" s="89" t="s">
        <v>107053</v>
      </c>
      <c r="L163" s="90" t="s">
        <v>113102</v>
      </c>
      <c r="M163" s="101" t="s">
        <v>113285</v>
      </c>
      <c r="N163" s="92">
        <v>45488</v>
      </c>
      <c r="O163" s="92" t="s">
        <v>113009</v>
      </c>
      <c r="P163" s="93" t="s">
        <v>113182</v>
      </c>
      <c r="Q163" s="93" t="s">
        <v>113103</v>
      </c>
      <c r="R163" s="308">
        <v>0</v>
      </c>
      <c r="S163" s="95"/>
      <c r="T163" s="127"/>
      <c r="U163" s="97" t="s">
        <v>113028</v>
      </c>
    </row>
    <row r="164" spans="1:21" ht="30" x14ac:dyDescent="0.2">
      <c r="A164" s="322"/>
      <c r="B164" s="71" t="s">
        <v>105516</v>
      </c>
      <c r="C164" s="71" t="s">
        <v>105573</v>
      </c>
      <c r="D164" s="71" t="s">
        <v>105573</v>
      </c>
      <c r="E164" s="71" t="s">
        <v>105573</v>
      </c>
      <c r="F164" s="71" t="s">
        <v>105553</v>
      </c>
      <c r="G164" s="71" t="s">
        <v>105550</v>
      </c>
      <c r="H164" s="71"/>
      <c r="I164" s="71"/>
      <c r="J164" s="71"/>
      <c r="K164" s="72"/>
      <c r="L164" s="72"/>
      <c r="M164" s="73" t="s">
        <v>107092</v>
      </c>
      <c r="N164" s="74"/>
      <c r="O164" s="74"/>
      <c r="P164" s="75"/>
      <c r="Q164" s="75"/>
      <c r="R164" s="76">
        <f>+R165</f>
        <v>116912000</v>
      </c>
      <c r="S164" s="77"/>
      <c r="T164" s="77"/>
      <c r="U164" s="78"/>
    </row>
    <row r="165" spans="1:21" ht="30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/>
      <c r="J165" s="79"/>
      <c r="K165" s="79"/>
      <c r="L165" s="79"/>
      <c r="M165" s="81" t="s">
        <v>107094</v>
      </c>
      <c r="N165" s="82"/>
      <c r="O165" s="82"/>
      <c r="P165" s="83"/>
      <c r="Q165" s="83"/>
      <c r="R165" s="84">
        <f>+R166+R168+R172</f>
        <v>116912000</v>
      </c>
      <c r="S165" s="85"/>
      <c r="T165" s="85"/>
      <c r="U165" s="100"/>
    </row>
    <row r="166" spans="1:21" ht="30" x14ac:dyDescent="0.2">
      <c r="A166" s="322"/>
      <c r="B166" s="79" t="s">
        <v>105516</v>
      </c>
      <c r="C166" s="79" t="s">
        <v>105573</v>
      </c>
      <c r="D166" s="79" t="s">
        <v>105573</v>
      </c>
      <c r="E166" s="79" t="s">
        <v>105573</v>
      </c>
      <c r="F166" s="79" t="s">
        <v>105553</v>
      </c>
      <c r="G166" s="79" t="s">
        <v>105550</v>
      </c>
      <c r="H166" s="79" t="s">
        <v>105520</v>
      </c>
      <c r="I166" s="79" t="s">
        <v>106211</v>
      </c>
      <c r="J166" s="79"/>
      <c r="K166" s="79"/>
      <c r="L166" s="79"/>
      <c r="M166" s="81" t="s">
        <v>107100</v>
      </c>
      <c r="N166" s="82"/>
      <c r="O166" s="82"/>
      <c r="P166" s="83"/>
      <c r="Q166" s="83"/>
      <c r="R166" s="84">
        <f>+R167</f>
        <v>0</v>
      </c>
      <c r="S166" s="85"/>
      <c r="T166" s="85"/>
      <c r="U166" s="100"/>
    </row>
    <row r="167" spans="1:21" ht="60" x14ac:dyDescent="0.2">
      <c r="A167" s="322"/>
      <c r="B167" s="87"/>
      <c r="C167" s="88"/>
      <c r="D167" s="88"/>
      <c r="E167" s="88"/>
      <c r="F167" s="88"/>
      <c r="G167" s="88"/>
      <c r="H167" s="88"/>
      <c r="I167" s="88"/>
      <c r="J167" s="89"/>
      <c r="K167" s="89" t="s">
        <v>107091</v>
      </c>
      <c r="L167" s="90" t="s">
        <v>113104</v>
      </c>
      <c r="M167" s="91" t="s">
        <v>113105</v>
      </c>
      <c r="N167" s="92">
        <v>45374</v>
      </c>
      <c r="O167" s="92" t="s">
        <v>113086</v>
      </c>
      <c r="P167" s="93" t="s">
        <v>113001</v>
      </c>
      <c r="Q167" s="93" t="s">
        <v>113095</v>
      </c>
      <c r="R167" s="308">
        <v>0</v>
      </c>
      <c r="S167" s="95"/>
      <c r="T167" s="96"/>
      <c r="U167" s="97" t="s">
        <v>113002</v>
      </c>
    </row>
    <row r="168" spans="1:21" ht="30" x14ac:dyDescent="0.2">
      <c r="A168" s="322"/>
      <c r="B168" s="79" t="s">
        <v>105516</v>
      </c>
      <c r="C168" s="79" t="s">
        <v>105573</v>
      </c>
      <c r="D168" s="79" t="s">
        <v>105573</v>
      </c>
      <c r="E168" s="79" t="s">
        <v>105573</v>
      </c>
      <c r="F168" s="79" t="s">
        <v>105553</v>
      </c>
      <c r="G168" s="79" t="s">
        <v>105550</v>
      </c>
      <c r="H168" s="79" t="s">
        <v>105520</v>
      </c>
      <c r="I168" s="79" t="s">
        <v>106214</v>
      </c>
      <c r="J168" s="79"/>
      <c r="K168" s="79"/>
      <c r="L168" s="79"/>
      <c r="M168" s="81" t="s">
        <v>107102</v>
      </c>
      <c r="N168" s="82"/>
      <c r="O168" s="82"/>
      <c r="P168" s="83"/>
      <c r="Q168" s="83"/>
      <c r="R168" s="84">
        <f>SUM(R169:R171)</f>
        <v>83000000</v>
      </c>
      <c r="S168" s="85"/>
      <c r="T168" s="85"/>
      <c r="U168" s="100"/>
    </row>
    <row r="169" spans="1:21" ht="85.5" customHeight="1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 t="s">
        <v>107091</v>
      </c>
      <c r="L169" s="90" t="s">
        <v>113199</v>
      </c>
      <c r="M169" s="91" t="s">
        <v>113106</v>
      </c>
      <c r="N169" s="92">
        <v>45313</v>
      </c>
      <c r="O169" s="92" t="s">
        <v>113036</v>
      </c>
      <c r="P169" s="93" t="s">
        <v>113010</v>
      </c>
      <c r="Q169" s="93" t="s">
        <v>113095</v>
      </c>
      <c r="R169" s="94">
        <v>50000000</v>
      </c>
      <c r="S169" s="95"/>
      <c r="T169" s="96"/>
      <c r="U169" s="97" t="s">
        <v>113034</v>
      </c>
    </row>
    <row r="170" spans="1:21" ht="45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113128</v>
      </c>
      <c r="M170" s="91" t="s">
        <v>113233</v>
      </c>
      <c r="N170" s="92"/>
      <c r="O170" s="92"/>
      <c r="P170" s="93"/>
      <c r="Q170" s="93"/>
      <c r="R170" s="94">
        <v>16500000</v>
      </c>
      <c r="S170" s="95"/>
      <c r="T170" s="96"/>
      <c r="U170" s="97" t="s">
        <v>112999</v>
      </c>
    </row>
    <row r="171" spans="1:21" ht="60" x14ac:dyDescent="0.2">
      <c r="A171" s="322"/>
      <c r="B171" s="87"/>
      <c r="C171" s="88"/>
      <c r="D171" s="88"/>
      <c r="E171" s="88"/>
      <c r="F171" s="88"/>
      <c r="G171" s="88"/>
      <c r="H171" s="88"/>
      <c r="I171" s="88"/>
      <c r="J171" s="89"/>
      <c r="K171" s="89"/>
      <c r="L171" s="90" t="s">
        <v>113128</v>
      </c>
      <c r="M171" s="91" t="s">
        <v>113234</v>
      </c>
      <c r="N171" s="92">
        <v>45397</v>
      </c>
      <c r="O171" s="92" t="s">
        <v>113086</v>
      </c>
      <c r="P171" s="93" t="s">
        <v>113183</v>
      </c>
      <c r="Q171" s="93" t="s">
        <v>113068</v>
      </c>
      <c r="R171" s="94">
        <v>16500000</v>
      </c>
      <c r="S171" s="95" t="s">
        <v>105533</v>
      </c>
      <c r="T171" s="309">
        <v>17520000</v>
      </c>
      <c r="U171" s="97" t="s">
        <v>112999</v>
      </c>
    </row>
    <row r="172" spans="1:21" ht="30" x14ac:dyDescent="0.2">
      <c r="A172" s="322"/>
      <c r="B172" s="79" t="s">
        <v>105516</v>
      </c>
      <c r="C172" s="79" t="s">
        <v>105573</v>
      </c>
      <c r="D172" s="79" t="s">
        <v>105573</v>
      </c>
      <c r="E172" s="79" t="s">
        <v>105573</v>
      </c>
      <c r="F172" s="79" t="s">
        <v>105553</v>
      </c>
      <c r="G172" s="79" t="s">
        <v>105550</v>
      </c>
      <c r="H172" s="79" t="s">
        <v>105520</v>
      </c>
      <c r="I172" s="79" t="s">
        <v>106217</v>
      </c>
      <c r="J172" s="79"/>
      <c r="K172" s="79"/>
      <c r="L172" s="79"/>
      <c r="M172" s="81" t="s">
        <v>107104</v>
      </c>
      <c r="N172" s="82"/>
      <c r="O172" s="82"/>
      <c r="P172" s="83"/>
      <c r="Q172" s="83"/>
      <c r="R172" s="84">
        <f>SUM(R173:R176)</f>
        <v>33912000</v>
      </c>
      <c r="S172" s="85"/>
      <c r="T172" s="85"/>
      <c r="U172" s="100"/>
    </row>
    <row r="173" spans="1:21" ht="75" x14ac:dyDescent="0.2">
      <c r="A173" s="322"/>
      <c r="B173" s="87"/>
      <c r="C173" s="88"/>
      <c r="D173" s="88"/>
      <c r="E173" s="88"/>
      <c r="F173" s="88"/>
      <c r="G173" s="88"/>
      <c r="H173" s="88"/>
      <c r="I173" s="88"/>
      <c r="J173" s="89"/>
      <c r="K173" s="89" t="s">
        <v>107091</v>
      </c>
      <c r="L173" s="90">
        <v>72154100</v>
      </c>
      <c r="M173" s="91" t="s">
        <v>113270</v>
      </c>
      <c r="N173" s="92"/>
      <c r="O173" s="92"/>
      <c r="P173" s="93"/>
      <c r="Q173" s="92"/>
      <c r="R173" s="94">
        <v>10956000</v>
      </c>
      <c r="S173" s="95"/>
      <c r="T173" s="96"/>
      <c r="U173" s="97" t="s">
        <v>112999</v>
      </c>
    </row>
    <row r="174" spans="1:21" ht="4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89" t="s">
        <v>107091</v>
      </c>
      <c r="L174" s="90" t="s">
        <v>113108</v>
      </c>
      <c r="M174" s="91" t="s">
        <v>113109</v>
      </c>
      <c r="N174" s="92">
        <v>45413</v>
      </c>
      <c r="O174" s="92" t="s">
        <v>113184</v>
      </c>
      <c r="P174" s="130" t="s">
        <v>113006</v>
      </c>
      <c r="Q174" s="92" t="s">
        <v>113051</v>
      </c>
      <c r="R174" s="94">
        <v>0</v>
      </c>
      <c r="S174" s="95"/>
      <c r="T174" s="140"/>
      <c r="U174" s="97" t="s">
        <v>112999</v>
      </c>
    </row>
    <row r="175" spans="1:21" ht="75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90">
        <v>72154100</v>
      </c>
      <c r="M175" s="91" t="s">
        <v>113107</v>
      </c>
      <c r="N175" s="92">
        <v>45397</v>
      </c>
      <c r="O175" s="92" t="s">
        <v>113086</v>
      </c>
      <c r="P175" s="93" t="s">
        <v>113183</v>
      </c>
      <c r="Q175" s="93" t="s">
        <v>113068</v>
      </c>
      <c r="R175" s="94">
        <v>10956000</v>
      </c>
      <c r="S175" s="95" t="s">
        <v>105533</v>
      </c>
      <c r="T175" s="309">
        <v>11640000</v>
      </c>
      <c r="U175" s="97" t="s">
        <v>112999</v>
      </c>
    </row>
    <row r="176" spans="1:21" ht="15" customHeight="1" x14ac:dyDescent="0.2">
      <c r="A176" s="322"/>
      <c r="B176" s="135"/>
      <c r="C176" s="136"/>
      <c r="D176" s="136"/>
      <c r="E176" s="136"/>
      <c r="F176" s="136"/>
      <c r="G176" s="136"/>
      <c r="H176" s="136"/>
      <c r="I176" s="136"/>
      <c r="J176" s="137"/>
      <c r="K176" s="137" t="s">
        <v>107091</v>
      </c>
      <c r="L176" s="125"/>
      <c r="M176" s="119" t="s">
        <v>113111</v>
      </c>
      <c r="N176" s="120" t="s">
        <v>113030</v>
      </c>
      <c r="O176" s="120" t="s">
        <v>113030</v>
      </c>
      <c r="P176" s="120" t="s">
        <v>113030</v>
      </c>
      <c r="Q176" s="120" t="s">
        <v>113030</v>
      </c>
      <c r="R176" s="94">
        <v>12000000</v>
      </c>
      <c r="S176" s="91"/>
      <c r="T176" s="98"/>
      <c r="U176" s="97" t="s">
        <v>113031</v>
      </c>
    </row>
    <row r="177" spans="1:21" x14ac:dyDescent="0.2">
      <c r="A177" s="322"/>
      <c r="B177" s="62" t="s">
        <v>105516</v>
      </c>
      <c r="C177" s="62" t="s">
        <v>105573</v>
      </c>
      <c r="D177" s="62" t="s">
        <v>105573</v>
      </c>
      <c r="E177" s="62" t="s">
        <v>105573</v>
      </c>
      <c r="F177" s="62" t="s">
        <v>105556</v>
      </c>
      <c r="G177" s="62"/>
      <c r="H177" s="62"/>
      <c r="I177" s="62"/>
      <c r="J177" s="62"/>
      <c r="K177" s="63"/>
      <c r="L177" s="64"/>
      <c r="M177" s="65" t="s">
        <v>107164</v>
      </c>
      <c r="N177" s="66"/>
      <c r="O177" s="66"/>
      <c r="P177" s="67"/>
      <c r="Q177" s="67"/>
      <c r="R177" s="68">
        <f>+R178+R182+R185+R189</f>
        <v>356000000</v>
      </c>
      <c r="S177" s="69"/>
      <c r="T177" s="69"/>
      <c r="U177" s="70"/>
    </row>
    <row r="178" spans="1:21" x14ac:dyDescent="0.2">
      <c r="A178" s="322"/>
      <c r="B178" s="71" t="s">
        <v>105516</v>
      </c>
      <c r="C178" s="71" t="s">
        <v>105573</v>
      </c>
      <c r="D178" s="71" t="s">
        <v>105573</v>
      </c>
      <c r="E178" s="71" t="s">
        <v>105573</v>
      </c>
      <c r="F178" s="71" t="s">
        <v>105556</v>
      </c>
      <c r="G178" s="71" t="s">
        <v>105535</v>
      </c>
      <c r="H178" s="71"/>
      <c r="I178" s="71"/>
      <c r="J178" s="71"/>
      <c r="K178" s="72"/>
      <c r="L178" s="72"/>
      <c r="M178" s="73" t="s">
        <v>107166</v>
      </c>
      <c r="N178" s="74"/>
      <c r="O178" s="74"/>
      <c r="P178" s="75"/>
      <c r="Q178" s="75"/>
      <c r="R178" s="76">
        <f>+R179</f>
        <v>70000000</v>
      </c>
      <c r="S178" s="77"/>
      <c r="T178" s="77"/>
      <c r="U178" s="78"/>
    </row>
    <row r="179" spans="1:21" x14ac:dyDescent="0.2">
      <c r="A179" s="322"/>
      <c r="B179" s="79" t="s">
        <v>105516</v>
      </c>
      <c r="C179" s="79" t="s">
        <v>105573</v>
      </c>
      <c r="D179" s="79" t="s">
        <v>105573</v>
      </c>
      <c r="E179" s="79" t="s">
        <v>105573</v>
      </c>
      <c r="F179" s="79" t="s">
        <v>105556</v>
      </c>
      <c r="G179" s="79" t="s">
        <v>105535</v>
      </c>
      <c r="H179" s="79" t="s">
        <v>106109</v>
      </c>
      <c r="I179" s="79"/>
      <c r="J179" s="79"/>
      <c r="K179" s="79"/>
      <c r="L179" s="79"/>
      <c r="M179" s="81" t="s">
        <v>107178</v>
      </c>
      <c r="N179" s="82"/>
      <c r="O179" s="82"/>
      <c r="P179" s="83"/>
      <c r="Q179" s="83"/>
      <c r="R179" s="84">
        <f>SUM(R180+R181)</f>
        <v>70000000</v>
      </c>
      <c r="S179" s="85"/>
      <c r="T179" s="85"/>
      <c r="U179" s="100"/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90" t="s">
        <v>113112</v>
      </c>
      <c r="M180" s="91" t="s">
        <v>113311</v>
      </c>
      <c r="N180" s="92">
        <v>45347</v>
      </c>
      <c r="O180" s="92" t="s">
        <v>113000</v>
      </c>
      <c r="P180" s="93" t="s">
        <v>113003</v>
      </c>
      <c r="Q180" s="93" t="s">
        <v>113052</v>
      </c>
      <c r="R180" s="94">
        <v>50000000</v>
      </c>
      <c r="S180" s="95"/>
      <c r="T180" s="96"/>
      <c r="U180" s="97" t="s">
        <v>113011</v>
      </c>
    </row>
    <row r="181" spans="1:21" ht="30" x14ac:dyDescent="0.2">
      <c r="A181" s="322"/>
      <c r="B181" s="87"/>
      <c r="C181" s="88"/>
      <c r="D181" s="88"/>
      <c r="E181" s="88"/>
      <c r="F181" s="88"/>
      <c r="G181" s="88"/>
      <c r="H181" s="88"/>
      <c r="I181" s="88"/>
      <c r="J181" s="89"/>
      <c r="K181" s="89" t="s">
        <v>107165</v>
      </c>
      <c r="L181" s="54"/>
      <c r="M181" s="91" t="s">
        <v>113113</v>
      </c>
      <c r="N181" s="92">
        <v>45321</v>
      </c>
      <c r="O181" s="93" t="s">
        <v>113030</v>
      </c>
      <c r="P181" s="93" t="s">
        <v>113030</v>
      </c>
      <c r="Q181" s="93" t="s">
        <v>113030</v>
      </c>
      <c r="R181" s="94">
        <v>20000000</v>
      </c>
      <c r="S181" s="95"/>
      <c r="T181" s="96"/>
      <c r="U181" s="97" t="s">
        <v>113011</v>
      </c>
    </row>
    <row r="182" spans="1:21" ht="30" x14ac:dyDescent="0.2">
      <c r="A182" s="322"/>
      <c r="B182" s="71" t="s">
        <v>105516</v>
      </c>
      <c r="C182" s="71" t="s">
        <v>105573</v>
      </c>
      <c r="D182" s="71" t="s">
        <v>105573</v>
      </c>
      <c r="E182" s="71" t="s">
        <v>105573</v>
      </c>
      <c r="F182" s="71" t="s">
        <v>105556</v>
      </c>
      <c r="G182" s="71" t="s">
        <v>105538</v>
      </c>
      <c r="H182" s="71"/>
      <c r="I182" s="71"/>
      <c r="J182" s="71"/>
      <c r="K182" s="72"/>
      <c r="L182" s="72"/>
      <c r="M182" s="73" t="s">
        <v>107180</v>
      </c>
      <c r="N182" s="74"/>
      <c r="O182" s="74"/>
      <c r="P182" s="75"/>
      <c r="Q182" s="75"/>
      <c r="R182" s="76">
        <f>+R183</f>
        <v>35000000</v>
      </c>
      <c r="S182" s="77"/>
      <c r="T182" s="77"/>
      <c r="U182" s="78"/>
    </row>
    <row r="183" spans="1:21" x14ac:dyDescent="0.2">
      <c r="A183" s="322"/>
      <c r="B183" s="79" t="s">
        <v>105516</v>
      </c>
      <c r="C183" s="79" t="s">
        <v>105573</v>
      </c>
      <c r="D183" s="79" t="s">
        <v>105573</v>
      </c>
      <c r="E183" s="79" t="s">
        <v>105573</v>
      </c>
      <c r="F183" s="79" t="s">
        <v>105556</v>
      </c>
      <c r="G183" s="79" t="s">
        <v>105538</v>
      </c>
      <c r="H183" s="79" t="s">
        <v>105520</v>
      </c>
      <c r="I183" s="79"/>
      <c r="J183" s="79"/>
      <c r="K183" s="79"/>
      <c r="L183" s="79"/>
      <c r="M183" s="81" t="s">
        <v>107182</v>
      </c>
      <c r="N183" s="82"/>
      <c r="O183" s="82"/>
      <c r="P183" s="83"/>
      <c r="Q183" s="83"/>
      <c r="R183" s="84">
        <f>+R184</f>
        <v>35000000</v>
      </c>
      <c r="S183" s="85"/>
      <c r="T183" s="85"/>
      <c r="U183" s="100"/>
    </row>
    <row r="184" spans="1:21" ht="44.25" customHeight="1" x14ac:dyDescent="0.2">
      <c r="A184" s="322"/>
      <c r="B184" s="87"/>
      <c r="C184" s="88"/>
      <c r="D184" s="88"/>
      <c r="E184" s="88"/>
      <c r="F184" s="88"/>
      <c r="G184" s="88"/>
      <c r="H184" s="88"/>
      <c r="I184" s="88"/>
      <c r="J184" s="89"/>
      <c r="K184" s="89" t="s">
        <v>107179</v>
      </c>
      <c r="L184" s="90" t="s">
        <v>113225</v>
      </c>
      <c r="M184" s="91" t="s">
        <v>113114</v>
      </c>
      <c r="N184" s="92">
        <v>45337</v>
      </c>
      <c r="O184" s="92" t="s">
        <v>113036</v>
      </c>
      <c r="P184" s="93" t="s">
        <v>113003</v>
      </c>
      <c r="Q184" s="130" t="s">
        <v>113110</v>
      </c>
      <c r="R184" s="94">
        <v>35000000</v>
      </c>
      <c r="S184" s="95"/>
      <c r="T184" s="96"/>
      <c r="U184" s="97" t="s">
        <v>113018</v>
      </c>
    </row>
    <row r="185" spans="1:21" ht="45" x14ac:dyDescent="0.2">
      <c r="A185" s="322"/>
      <c r="B185" s="71" t="s">
        <v>105516</v>
      </c>
      <c r="C185" s="71" t="s">
        <v>105573</v>
      </c>
      <c r="D185" s="71" t="s">
        <v>105573</v>
      </c>
      <c r="E185" s="71" t="s">
        <v>105573</v>
      </c>
      <c r="F185" s="71" t="s">
        <v>105556</v>
      </c>
      <c r="G185" s="71" t="s">
        <v>105541</v>
      </c>
      <c r="H185" s="71"/>
      <c r="I185" s="71"/>
      <c r="J185" s="71"/>
      <c r="K185" s="72"/>
      <c r="L185" s="72"/>
      <c r="M185" s="73" t="s">
        <v>107192</v>
      </c>
      <c r="N185" s="74"/>
      <c r="O185" s="74"/>
      <c r="P185" s="75"/>
      <c r="Q185" s="75"/>
      <c r="R185" s="76">
        <f>+R186</f>
        <v>251000000</v>
      </c>
      <c r="S185" s="77"/>
      <c r="T185" s="77"/>
      <c r="U185" s="78"/>
    </row>
    <row r="186" spans="1:21" ht="30" x14ac:dyDescent="0.2">
      <c r="A186" s="322"/>
      <c r="B186" s="79" t="s">
        <v>105516</v>
      </c>
      <c r="C186" s="79" t="s">
        <v>105573</v>
      </c>
      <c r="D186" s="79" t="s">
        <v>105573</v>
      </c>
      <c r="E186" s="79" t="s">
        <v>105573</v>
      </c>
      <c r="F186" s="79" t="s">
        <v>105556</v>
      </c>
      <c r="G186" s="79" t="s">
        <v>105541</v>
      </c>
      <c r="H186" s="79" t="s">
        <v>105520</v>
      </c>
      <c r="I186" s="79"/>
      <c r="J186" s="79"/>
      <c r="K186" s="79"/>
      <c r="L186" s="79"/>
      <c r="M186" s="81" t="s">
        <v>107194</v>
      </c>
      <c r="N186" s="109"/>
      <c r="O186" s="109"/>
      <c r="P186" s="83"/>
      <c r="Q186" s="83"/>
      <c r="R186" s="111">
        <f>SUM(R187+R188)</f>
        <v>251000000</v>
      </c>
      <c r="S186" s="112"/>
      <c r="T186" s="112"/>
      <c r="U186" s="100"/>
    </row>
    <row r="187" spans="1:21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/>
      <c r="M187" s="101" t="s">
        <v>113117</v>
      </c>
      <c r="N187" s="92">
        <v>45293</v>
      </c>
      <c r="O187" s="92" t="s">
        <v>113059</v>
      </c>
      <c r="P187" s="93" t="s">
        <v>113067</v>
      </c>
      <c r="Q187" s="93"/>
      <c r="R187" s="94">
        <v>231000000</v>
      </c>
      <c r="S187" s="95"/>
      <c r="T187" s="127"/>
      <c r="U187" s="91" t="s">
        <v>113063</v>
      </c>
    </row>
    <row r="188" spans="1:21" ht="45" x14ac:dyDescent="0.2">
      <c r="A188" s="322"/>
      <c r="B188" s="87"/>
      <c r="C188" s="88"/>
      <c r="D188" s="88"/>
      <c r="E188" s="88"/>
      <c r="F188" s="88"/>
      <c r="G188" s="88"/>
      <c r="H188" s="88"/>
      <c r="I188" s="88"/>
      <c r="J188" s="89"/>
      <c r="K188" s="89" t="s">
        <v>107191</v>
      </c>
      <c r="L188" s="90" t="s">
        <v>113115</v>
      </c>
      <c r="M188" s="101" t="s">
        <v>113116</v>
      </c>
      <c r="N188" s="92">
        <v>45350</v>
      </c>
      <c r="O188" s="92" t="s">
        <v>113036</v>
      </c>
      <c r="P188" s="130" t="s">
        <v>113003</v>
      </c>
      <c r="Q188" s="93" t="s">
        <v>113051</v>
      </c>
      <c r="R188" s="94">
        <v>20000000</v>
      </c>
      <c r="S188" s="124"/>
      <c r="T188" s="127"/>
      <c r="U188" s="91" t="s">
        <v>112999</v>
      </c>
    </row>
    <row r="189" spans="1:21" x14ac:dyDescent="0.2">
      <c r="A189" s="322"/>
      <c r="B189" s="71" t="s">
        <v>105516</v>
      </c>
      <c r="C189" s="71" t="s">
        <v>105573</v>
      </c>
      <c r="D189" s="71" t="s">
        <v>105573</v>
      </c>
      <c r="E189" s="71" t="s">
        <v>105573</v>
      </c>
      <c r="F189" s="71" t="s">
        <v>105556</v>
      </c>
      <c r="G189" s="71" t="s">
        <v>105547</v>
      </c>
      <c r="H189" s="71"/>
      <c r="I189" s="71"/>
      <c r="J189" s="71"/>
      <c r="K189" s="72"/>
      <c r="L189" s="72"/>
      <c r="M189" s="73" t="s">
        <v>107214</v>
      </c>
      <c r="N189" s="74"/>
      <c r="O189" s="74"/>
      <c r="P189" s="75"/>
      <c r="Q189" s="75"/>
      <c r="R189" s="76">
        <f>+R190</f>
        <v>0</v>
      </c>
      <c r="S189" s="77"/>
      <c r="T189" s="77"/>
      <c r="U189" s="78"/>
    </row>
    <row r="190" spans="1:21" x14ac:dyDescent="0.2">
      <c r="A190" s="322"/>
      <c r="B190" s="79" t="s">
        <v>105516</v>
      </c>
      <c r="C190" s="79" t="s">
        <v>105573</v>
      </c>
      <c r="D190" s="79" t="s">
        <v>105573</v>
      </c>
      <c r="E190" s="79" t="s">
        <v>105573</v>
      </c>
      <c r="F190" s="79" t="s">
        <v>105556</v>
      </c>
      <c r="G190" s="79" t="s">
        <v>105547</v>
      </c>
      <c r="H190" s="79" t="s">
        <v>106109</v>
      </c>
      <c r="I190" s="79"/>
      <c r="J190" s="79"/>
      <c r="K190" s="79"/>
      <c r="L190" s="79"/>
      <c r="M190" s="81" t="s">
        <v>107228</v>
      </c>
      <c r="N190" s="82"/>
      <c r="O190" s="82"/>
      <c r="P190" s="83"/>
      <c r="Q190" s="83"/>
      <c r="R190" s="84">
        <f>+R191</f>
        <v>0</v>
      </c>
      <c r="S190" s="85"/>
      <c r="T190" s="85"/>
      <c r="U190" s="100"/>
    </row>
    <row r="191" spans="1:21" ht="30" x14ac:dyDescent="0.2">
      <c r="A191" s="322"/>
      <c r="B191" s="87"/>
      <c r="C191" s="88"/>
      <c r="D191" s="88"/>
      <c r="E191" s="88"/>
      <c r="F191" s="88"/>
      <c r="G191" s="88"/>
      <c r="H191" s="88"/>
      <c r="I191" s="88"/>
      <c r="J191" s="89"/>
      <c r="K191" s="89" t="s">
        <v>107213</v>
      </c>
      <c r="L191" s="54">
        <v>93141500</v>
      </c>
      <c r="M191" s="91" t="s">
        <v>113118</v>
      </c>
      <c r="N191" s="92">
        <v>45580</v>
      </c>
      <c r="O191" s="92" t="s">
        <v>113119</v>
      </c>
      <c r="P191" s="93" t="s">
        <v>113044</v>
      </c>
      <c r="Q191" s="93" t="s">
        <v>113094</v>
      </c>
      <c r="R191" s="308">
        <v>0</v>
      </c>
      <c r="S191" s="95"/>
      <c r="T191" s="96"/>
      <c r="U191" s="97" t="s">
        <v>113011</v>
      </c>
    </row>
    <row r="192" spans="1:21" x14ac:dyDescent="0.2">
      <c r="A192" s="322"/>
      <c r="B192" s="71" t="s">
        <v>105516</v>
      </c>
      <c r="C192" s="71" t="s">
        <v>105573</v>
      </c>
      <c r="D192" s="71" t="s">
        <v>105573</v>
      </c>
      <c r="E192" s="71" t="s">
        <v>105573</v>
      </c>
      <c r="F192" s="71" t="s">
        <v>105559</v>
      </c>
      <c r="G192" s="71"/>
      <c r="H192" s="71"/>
      <c r="I192" s="71"/>
      <c r="J192" s="71"/>
      <c r="K192" s="72"/>
      <c r="L192" s="72"/>
      <c r="M192" s="73" t="s">
        <v>105564</v>
      </c>
      <c r="N192" s="74"/>
      <c r="O192" s="74"/>
      <c r="P192" s="75"/>
      <c r="Q192" s="75"/>
      <c r="R192" s="76">
        <f>+R193</f>
        <v>50000000</v>
      </c>
      <c r="S192" s="77"/>
      <c r="T192" s="77"/>
      <c r="U192" s="78"/>
    </row>
    <row r="193" spans="1:21" x14ac:dyDescent="0.2">
      <c r="A193" s="322"/>
      <c r="B193" s="87"/>
      <c r="C193" s="88"/>
      <c r="D193" s="88"/>
      <c r="E193" s="88"/>
      <c r="F193" s="88"/>
      <c r="G193" s="88"/>
      <c r="H193" s="88"/>
      <c r="I193" s="88"/>
      <c r="J193" s="89"/>
      <c r="K193" s="89" t="s">
        <v>107241</v>
      </c>
      <c r="L193" s="54"/>
      <c r="M193" s="101" t="s">
        <v>105564</v>
      </c>
      <c r="N193" s="92" t="s">
        <v>113030</v>
      </c>
      <c r="O193" s="92" t="s">
        <v>113030</v>
      </c>
      <c r="P193" s="93" t="s">
        <v>113030</v>
      </c>
      <c r="Q193" s="93" t="s">
        <v>113030</v>
      </c>
      <c r="R193" s="94">
        <v>50000000</v>
      </c>
      <c r="S193" s="95"/>
      <c r="T193" s="96"/>
      <c r="U193" s="97" t="s">
        <v>113011</v>
      </c>
    </row>
    <row r="194" spans="1:21" ht="15.75" x14ac:dyDescent="0.2">
      <c r="A194" s="322"/>
      <c r="B194" s="141" t="s">
        <v>105516</v>
      </c>
      <c r="C194" s="141" t="s">
        <v>105924</v>
      </c>
      <c r="D194" s="141"/>
      <c r="E194" s="141"/>
      <c r="F194" s="141"/>
      <c r="G194" s="141"/>
      <c r="H194" s="141"/>
      <c r="I194" s="141"/>
      <c r="J194" s="141"/>
      <c r="K194" s="142"/>
      <c r="L194" s="142"/>
      <c r="M194" s="143" t="s">
        <v>112080</v>
      </c>
      <c r="N194" s="144"/>
      <c r="O194" s="144"/>
      <c r="P194" s="145"/>
      <c r="Q194" s="145"/>
      <c r="R194" s="146">
        <f>+R195</f>
        <v>11896000000</v>
      </c>
      <c r="S194" s="147">
        <v>11896000000</v>
      </c>
      <c r="T194" s="147">
        <f>+R194-S194</f>
        <v>0</v>
      </c>
      <c r="U194" s="148"/>
    </row>
    <row r="195" spans="1:21" ht="15.75" x14ac:dyDescent="0.2">
      <c r="A195" s="322"/>
      <c r="B195" s="149" t="s">
        <v>105516</v>
      </c>
      <c r="C195" s="149" t="s">
        <v>105924</v>
      </c>
      <c r="D195" s="149" t="s">
        <v>105520</v>
      </c>
      <c r="E195" s="149"/>
      <c r="F195" s="149"/>
      <c r="G195" s="149"/>
      <c r="H195" s="149"/>
      <c r="I195" s="149"/>
      <c r="J195" s="149"/>
      <c r="K195" s="150"/>
      <c r="L195" s="151"/>
      <c r="M195" s="152" t="s">
        <v>112080</v>
      </c>
      <c r="N195" s="153"/>
      <c r="O195" s="153"/>
      <c r="P195" s="154"/>
      <c r="Q195" s="154"/>
      <c r="R195" s="155">
        <f>+R196+R222</f>
        <v>11896000000</v>
      </c>
      <c r="S195" s="156"/>
      <c r="T195" s="156"/>
      <c r="U195" s="157"/>
    </row>
    <row r="196" spans="1:21" ht="15.75" x14ac:dyDescent="0.2">
      <c r="A196" s="322"/>
      <c r="B196" s="158" t="s">
        <v>105516</v>
      </c>
      <c r="C196" s="158" t="s">
        <v>105924</v>
      </c>
      <c r="D196" s="158" t="s">
        <v>105520</v>
      </c>
      <c r="E196" s="158" t="s">
        <v>105520</v>
      </c>
      <c r="F196" s="158"/>
      <c r="G196" s="158"/>
      <c r="H196" s="158"/>
      <c r="I196" s="158"/>
      <c r="J196" s="158"/>
      <c r="K196" s="159"/>
      <c r="L196" s="159"/>
      <c r="M196" s="160" t="s">
        <v>106437</v>
      </c>
      <c r="N196" s="161"/>
      <c r="O196" s="161"/>
      <c r="P196" s="162"/>
      <c r="Q196" s="162"/>
      <c r="R196" s="163">
        <f>+R197+R217</f>
        <v>705000000</v>
      </c>
      <c r="S196" s="164"/>
      <c r="T196" s="164"/>
      <c r="U196" s="165"/>
    </row>
    <row r="197" spans="1:21" ht="30" x14ac:dyDescent="0.2">
      <c r="A197" s="322"/>
      <c r="B197" s="62" t="s">
        <v>105516</v>
      </c>
      <c r="C197" s="62" t="s">
        <v>105924</v>
      </c>
      <c r="D197" s="62" t="s">
        <v>105520</v>
      </c>
      <c r="E197" s="62" t="s">
        <v>105520</v>
      </c>
      <c r="F197" s="62" t="s">
        <v>105538</v>
      </c>
      <c r="G197" s="62"/>
      <c r="H197" s="62"/>
      <c r="I197" s="62"/>
      <c r="J197" s="62"/>
      <c r="K197" s="63"/>
      <c r="L197" s="64"/>
      <c r="M197" s="65" t="s">
        <v>106589</v>
      </c>
      <c r="N197" s="66"/>
      <c r="O197" s="66"/>
      <c r="P197" s="67"/>
      <c r="Q197" s="67"/>
      <c r="R197" s="68">
        <f>+R198+R201+R204+R208+R214</f>
        <v>660000000</v>
      </c>
      <c r="S197" s="69"/>
      <c r="T197" s="69"/>
      <c r="U197" s="70"/>
    </row>
    <row r="198" spans="1:21" ht="30" x14ac:dyDescent="0.2">
      <c r="A198" s="322"/>
      <c r="B198" s="166" t="s">
        <v>105516</v>
      </c>
      <c r="C198" s="166" t="s">
        <v>105924</v>
      </c>
      <c r="D198" s="166" t="s">
        <v>105520</v>
      </c>
      <c r="E198" s="166" t="s">
        <v>105520</v>
      </c>
      <c r="F198" s="166" t="s">
        <v>105538</v>
      </c>
      <c r="G198" s="166" t="s">
        <v>105535</v>
      </c>
      <c r="H198" s="166"/>
      <c r="I198" s="166"/>
      <c r="J198" s="166"/>
      <c r="K198" s="167"/>
      <c r="L198" s="167"/>
      <c r="M198" s="168" t="s">
        <v>106593</v>
      </c>
      <c r="N198" s="169"/>
      <c r="O198" s="169"/>
      <c r="P198" s="170"/>
      <c r="Q198" s="170"/>
      <c r="R198" s="171">
        <f>+R199</f>
        <v>25000000</v>
      </c>
      <c r="S198" s="172"/>
      <c r="T198" s="172"/>
      <c r="U198" s="173"/>
    </row>
    <row r="199" spans="1:21" x14ac:dyDescent="0.2">
      <c r="A199" s="322"/>
      <c r="B199" s="79" t="s">
        <v>105516</v>
      </c>
      <c r="C199" s="79" t="s">
        <v>105924</v>
      </c>
      <c r="D199" s="79" t="s">
        <v>105520</v>
      </c>
      <c r="E199" s="79" t="s">
        <v>105520</v>
      </c>
      <c r="F199" s="80" t="s">
        <v>105538</v>
      </c>
      <c r="G199" s="80" t="s">
        <v>105535</v>
      </c>
      <c r="H199" s="80" t="s">
        <v>105520</v>
      </c>
      <c r="I199" s="79"/>
      <c r="J199" s="79"/>
      <c r="K199" s="79"/>
      <c r="L199" s="79"/>
      <c r="M199" s="81" t="s">
        <v>106595</v>
      </c>
      <c r="N199" s="82"/>
      <c r="O199" s="82"/>
      <c r="P199" s="83"/>
      <c r="Q199" s="83"/>
      <c r="R199" s="84">
        <f>+R200</f>
        <v>25000000</v>
      </c>
      <c r="S199" s="85"/>
      <c r="T199" s="85"/>
      <c r="U199" s="100"/>
    </row>
    <row r="200" spans="1:21" ht="52.5" customHeight="1" x14ac:dyDescent="0.2">
      <c r="A200" s="322"/>
      <c r="B200" s="87"/>
      <c r="C200" s="88"/>
      <c r="D200" s="88"/>
      <c r="E200" s="88"/>
      <c r="F200" s="88"/>
      <c r="G200" s="88"/>
      <c r="H200" s="88"/>
      <c r="I200" s="88"/>
      <c r="J200" s="89"/>
      <c r="K200" s="89" t="s">
        <v>112177</v>
      </c>
      <c r="L200" s="90" t="s">
        <v>113025</v>
      </c>
      <c r="M200" s="91" t="s">
        <v>113026</v>
      </c>
      <c r="N200" s="92">
        <v>45381</v>
      </c>
      <c r="O200" s="92" t="s">
        <v>113005</v>
      </c>
      <c r="P200" s="93" t="s">
        <v>113027</v>
      </c>
      <c r="Q200" s="93" t="s">
        <v>113007</v>
      </c>
      <c r="R200" s="94">
        <v>25000000</v>
      </c>
      <c r="S200" s="95"/>
      <c r="T200" s="127"/>
      <c r="U200" s="97" t="s">
        <v>113028</v>
      </c>
    </row>
    <row r="201" spans="1:21" ht="30" x14ac:dyDescent="0.2">
      <c r="A201" s="322"/>
      <c r="B201" s="166" t="s">
        <v>105516</v>
      </c>
      <c r="C201" s="166" t="s">
        <v>105924</v>
      </c>
      <c r="D201" s="166" t="s">
        <v>105520</v>
      </c>
      <c r="E201" s="166" t="s">
        <v>105520</v>
      </c>
      <c r="F201" s="166" t="s">
        <v>105538</v>
      </c>
      <c r="G201" s="166" t="s">
        <v>105538</v>
      </c>
      <c r="H201" s="166"/>
      <c r="I201" s="166"/>
      <c r="J201" s="166"/>
      <c r="K201" s="167"/>
      <c r="L201" s="167"/>
      <c r="M201" s="168" t="s">
        <v>106611</v>
      </c>
      <c r="N201" s="169"/>
      <c r="O201" s="169"/>
      <c r="P201" s="170"/>
      <c r="Q201" s="170"/>
      <c r="R201" s="171">
        <f>+R202</f>
        <v>150000000</v>
      </c>
      <c r="S201" s="172"/>
      <c r="T201" s="172"/>
      <c r="U201" s="173"/>
    </row>
    <row r="202" spans="1:21" ht="60" x14ac:dyDescent="0.2">
      <c r="A202" s="322"/>
      <c r="B202" s="79" t="s">
        <v>105516</v>
      </c>
      <c r="C202" s="79" t="s">
        <v>105924</v>
      </c>
      <c r="D202" s="79" t="s">
        <v>105520</v>
      </c>
      <c r="E202" s="79" t="s">
        <v>105520</v>
      </c>
      <c r="F202" s="80" t="s">
        <v>105538</v>
      </c>
      <c r="G202" s="80" t="s">
        <v>105538</v>
      </c>
      <c r="H202" s="80" t="s">
        <v>105675</v>
      </c>
      <c r="I202" s="79"/>
      <c r="J202" s="79"/>
      <c r="K202" s="79"/>
      <c r="L202" s="79"/>
      <c r="M202" s="81" t="s">
        <v>106617</v>
      </c>
      <c r="N202" s="82"/>
      <c r="O202" s="82"/>
      <c r="P202" s="83"/>
      <c r="Q202" s="83"/>
      <c r="R202" s="84">
        <f>+R203</f>
        <v>150000000</v>
      </c>
      <c r="S202" s="85"/>
      <c r="T202" s="85"/>
      <c r="U202" s="100"/>
    </row>
    <row r="203" spans="1:21" ht="60" x14ac:dyDescent="0.2">
      <c r="A203" s="322"/>
      <c r="B203" s="87"/>
      <c r="C203" s="88"/>
      <c r="D203" s="88"/>
      <c r="E203" s="88"/>
      <c r="F203" s="88"/>
      <c r="G203" s="88"/>
      <c r="H203" s="88"/>
      <c r="I203" s="88"/>
      <c r="J203" s="88"/>
      <c r="K203" s="89" t="s">
        <v>112186</v>
      </c>
      <c r="L203" s="174">
        <v>15101500</v>
      </c>
      <c r="M203" s="101" t="s">
        <v>113120</v>
      </c>
      <c r="N203" s="92">
        <v>45324</v>
      </c>
      <c r="O203" s="92" t="s">
        <v>113000</v>
      </c>
      <c r="P203" s="93" t="s">
        <v>113003</v>
      </c>
      <c r="Q203" s="93" t="s">
        <v>113037</v>
      </c>
      <c r="R203" s="94">
        <v>150000000</v>
      </c>
      <c r="S203" s="95"/>
      <c r="T203" s="127"/>
      <c r="U203" s="97" t="s">
        <v>112999</v>
      </c>
    </row>
    <row r="204" spans="1:21" ht="30" x14ac:dyDescent="0.2">
      <c r="A204" s="322"/>
      <c r="B204" s="166" t="s">
        <v>105516</v>
      </c>
      <c r="C204" s="166" t="s">
        <v>105924</v>
      </c>
      <c r="D204" s="166" t="s">
        <v>105520</v>
      </c>
      <c r="E204" s="166" t="s">
        <v>105520</v>
      </c>
      <c r="F204" s="166" t="s">
        <v>105538</v>
      </c>
      <c r="G204" s="175" t="s">
        <v>105544</v>
      </c>
      <c r="H204" s="166"/>
      <c r="I204" s="166"/>
      <c r="J204" s="166"/>
      <c r="K204" s="167"/>
      <c r="L204" s="167"/>
      <c r="M204" s="168" t="s">
        <v>106645</v>
      </c>
      <c r="N204" s="169"/>
      <c r="O204" s="169"/>
      <c r="P204" s="170"/>
      <c r="Q204" s="170"/>
      <c r="R204" s="171">
        <f>+R205</f>
        <v>45000000</v>
      </c>
      <c r="S204" s="172"/>
      <c r="T204" s="172"/>
      <c r="U204" s="173"/>
    </row>
    <row r="205" spans="1:21" x14ac:dyDescent="0.2">
      <c r="A205" s="322"/>
      <c r="B205" s="79" t="s">
        <v>105516</v>
      </c>
      <c r="C205" s="79" t="s">
        <v>105924</v>
      </c>
      <c r="D205" s="79" t="s">
        <v>105520</v>
      </c>
      <c r="E205" s="79" t="s">
        <v>105520</v>
      </c>
      <c r="F205" s="79" t="s">
        <v>105538</v>
      </c>
      <c r="G205" s="79" t="s">
        <v>105544</v>
      </c>
      <c r="H205" s="176" t="s">
        <v>105573</v>
      </c>
      <c r="I205" s="79"/>
      <c r="J205" s="79"/>
      <c r="K205" s="79"/>
      <c r="L205" s="79"/>
      <c r="M205" s="108" t="s">
        <v>106649</v>
      </c>
      <c r="N205" s="82"/>
      <c r="O205" s="82"/>
      <c r="P205" s="83"/>
      <c r="Q205" s="83"/>
      <c r="R205" s="84">
        <f>SUM(R206:R207)</f>
        <v>45000000</v>
      </c>
      <c r="S205" s="85"/>
      <c r="T205" s="85"/>
      <c r="U205" s="100"/>
    </row>
    <row r="206" spans="1:21" ht="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 t="s">
        <v>113226</v>
      </c>
      <c r="M206" s="101" t="s">
        <v>113121</v>
      </c>
      <c r="N206" s="92">
        <v>45427</v>
      </c>
      <c r="O206" s="92" t="s">
        <v>113086</v>
      </c>
      <c r="P206" s="93" t="s">
        <v>113144</v>
      </c>
      <c r="Q206" s="93" t="s">
        <v>113037</v>
      </c>
      <c r="R206" s="94">
        <v>20000000</v>
      </c>
      <c r="S206" s="95"/>
      <c r="T206" s="96"/>
      <c r="U206" s="97" t="s">
        <v>113018</v>
      </c>
    </row>
    <row r="207" spans="1:21" ht="30.75" customHeight="1" x14ac:dyDescent="0.2">
      <c r="A207" s="322"/>
      <c r="B207" s="135"/>
      <c r="C207" s="136"/>
      <c r="D207" s="136"/>
      <c r="E207" s="136"/>
      <c r="F207" s="136"/>
      <c r="G207" s="136"/>
      <c r="H207" s="136"/>
      <c r="I207" s="136"/>
      <c r="J207" s="137"/>
      <c r="K207" s="89" t="s">
        <v>112204</v>
      </c>
      <c r="L207" s="90">
        <v>44103100</v>
      </c>
      <c r="M207" s="101" t="s">
        <v>113038</v>
      </c>
      <c r="N207" s="92">
        <v>45352</v>
      </c>
      <c r="O207" s="92" t="s">
        <v>113005</v>
      </c>
      <c r="P207" s="93" t="s">
        <v>113039</v>
      </c>
      <c r="Q207" s="93" t="s">
        <v>113301</v>
      </c>
      <c r="R207" s="94">
        <v>25000000</v>
      </c>
      <c r="S207" s="95"/>
      <c r="T207" s="96"/>
      <c r="U207" s="97" t="s">
        <v>113028</v>
      </c>
    </row>
    <row r="208" spans="1:21" x14ac:dyDescent="0.2">
      <c r="A208" s="322"/>
      <c r="B208" s="166" t="s">
        <v>105516</v>
      </c>
      <c r="C208" s="166" t="s">
        <v>105924</v>
      </c>
      <c r="D208" s="166" t="s">
        <v>105520</v>
      </c>
      <c r="E208" s="166" t="s">
        <v>105520</v>
      </c>
      <c r="F208" s="166" t="s">
        <v>105538</v>
      </c>
      <c r="G208" s="175" t="s">
        <v>105547</v>
      </c>
      <c r="H208" s="166"/>
      <c r="I208" s="166"/>
      <c r="J208" s="166"/>
      <c r="K208" s="167"/>
      <c r="L208" s="167"/>
      <c r="M208" s="168" t="s">
        <v>106657</v>
      </c>
      <c r="N208" s="169"/>
      <c r="O208" s="169"/>
      <c r="P208" s="170"/>
      <c r="Q208" s="170"/>
      <c r="R208" s="171">
        <f>+R209+R212</f>
        <v>240000000</v>
      </c>
      <c r="S208" s="172"/>
      <c r="T208" s="172"/>
      <c r="U208" s="173"/>
    </row>
    <row r="209" spans="1:21" x14ac:dyDescent="0.2">
      <c r="A209" s="322"/>
      <c r="B209" s="79" t="s">
        <v>105516</v>
      </c>
      <c r="C209" s="79" t="s">
        <v>105924</v>
      </c>
      <c r="D209" s="79" t="s">
        <v>105520</v>
      </c>
      <c r="E209" s="79" t="s">
        <v>105520</v>
      </c>
      <c r="F209" s="79" t="s">
        <v>105538</v>
      </c>
      <c r="G209" s="176" t="s">
        <v>105547</v>
      </c>
      <c r="H209" s="176" t="s">
        <v>105675</v>
      </c>
      <c r="I209" s="79"/>
      <c r="J209" s="79"/>
      <c r="K209" s="79"/>
      <c r="L209" s="79"/>
      <c r="M209" s="81" t="s">
        <v>106663</v>
      </c>
      <c r="N209" s="82"/>
      <c r="O209" s="82"/>
      <c r="P209" s="83"/>
      <c r="Q209" s="83"/>
      <c r="R209" s="84">
        <f>SUM(R210:R211)</f>
        <v>40000000</v>
      </c>
      <c r="S209" s="85"/>
      <c r="T209" s="85"/>
      <c r="U209" s="100"/>
    </row>
    <row r="210" spans="1:21" ht="25.5" customHeight="1" x14ac:dyDescent="0.2">
      <c r="A210" s="322"/>
      <c r="B210" s="87"/>
      <c r="C210" s="88"/>
      <c r="D210" s="88"/>
      <c r="E210" s="88"/>
      <c r="F210" s="88"/>
      <c r="G210" s="88"/>
      <c r="H210" s="88"/>
      <c r="I210" s="88"/>
      <c r="J210" s="89"/>
      <c r="K210" s="89" t="s">
        <v>112210</v>
      </c>
      <c r="L210" s="90" t="s">
        <v>113228</v>
      </c>
      <c r="M210" s="101" t="s">
        <v>113123</v>
      </c>
      <c r="N210" s="92">
        <v>45397</v>
      </c>
      <c r="O210" s="92" t="s">
        <v>113005</v>
      </c>
      <c r="P210" s="93" t="s">
        <v>113027</v>
      </c>
      <c r="Q210" s="93" t="s">
        <v>113007</v>
      </c>
      <c r="R210" s="94">
        <v>40000000</v>
      </c>
      <c r="S210" s="95"/>
      <c r="T210" s="96"/>
      <c r="U210" s="97" t="s">
        <v>113018</v>
      </c>
    </row>
    <row r="211" spans="1:21" ht="25.5" customHeight="1" x14ac:dyDescent="0.2">
      <c r="A211" s="322"/>
      <c r="B211" s="135"/>
      <c r="C211" s="136"/>
      <c r="D211" s="136"/>
      <c r="E211" s="136"/>
      <c r="F211" s="136"/>
      <c r="G211" s="136"/>
      <c r="H211" s="136"/>
      <c r="I211" s="136"/>
      <c r="J211" s="137"/>
      <c r="K211" s="89" t="s">
        <v>112210</v>
      </c>
      <c r="L211" s="177" t="s">
        <v>113227</v>
      </c>
      <c r="M211" s="101" t="s">
        <v>113122</v>
      </c>
      <c r="N211" s="92">
        <v>45352</v>
      </c>
      <c r="O211" s="92" t="s">
        <v>113000</v>
      </c>
      <c r="P211" s="93" t="s">
        <v>113039</v>
      </c>
      <c r="Q211" s="93" t="s">
        <v>113095</v>
      </c>
      <c r="R211" s="94">
        <v>0</v>
      </c>
      <c r="S211" s="95"/>
      <c r="T211" s="96"/>
      <c r="U211" s="97" t="s">
        <v>113018</v>
      </c>
    </row>
    <row r="212" spans="1:21" x14ac:dyDescent="0.2">
      <c r="A212" s="322"/>
      <c r="B212" s="79" t="s">
        <v>105516</v>
      </c>
      <c r="C212" s="79" t="s">
        <v>105924</v>
      </c>
      <c r="D212" s="79" t="s">
        <v>105520</v>
      </c>
      <c r="E212" s="79" t="s">
        <v>105520</v>
      </c>
      <c r="F212" s="79" t="s">
        <v>105538</v>
      </c>
      <c r="G212" s="176" t="s">
        <v>105547</v>
      </c>
      <c r="H212" s="176" t="s">
        <v>106109</v>
      </c>
      <c r="I212" s="79"/>
      <c r="J212" s="79"/>
      <c r="K212" s="79"/>
      <c r="L212" s="79"/>
      <c r="M212" s="108" t="s">
        <v>106667</v>
      </c>
      <c r="N212" s="82"/>
      <c r="O212" s="82"/>
      <c r="P212" s="83"/>
      <c r="Q212" s="83"/>
      <c r="R212" s="84">
        <f>+R213</f>
        <v>200000000</v>
      </c>
      <c r="S212" s="85"/>
      <c r="T212" s="85"/>
      <c r="U212" s="100"/>
    </row>
    <row r="213" spans="1:21" ht="45" x14ac:dyDescent="0.2">
      <c r="A213" s="322"/>
      <c r="B213" s="135"/>
      <c r="C213" s="136"/>
      <c r="D213" s="136"/>
      <c r="E213" s="136"/>
      <c r="F213" s="136"/>
      <c r="G213" s="136"/>
      <c r="H213" s="136"/>
      <c r="I213" s="136"/>
      <c r="J213" s="137"/>
      <c r="K213" s="89" t="s">
        <v>112210</v>
      </c>
      <c r="L213" s="118" t="s">
        <v>113229</v>
      </c>
      <c r="M213" s="119" t="s">
        <v>113124</v>
      </c>
      <c r="N213" s="120">
        <v>45393</v>
      </c>
      <c r="O213" s="92" t="s">
        <v>113005</v>
      </c>
      <c r="P213" s="93" t="s">
        <v>113144</v>
      </c>
      <c r="Q213" s="130" t="s">
        <v>113095</v>
      </c>
      <c r="R213" s="94">
        <v>200000000</v>
      </c>
      <c r="S213" s="95"/>
      <c r="T213" s="96"/>
      <c r="U213" s="97" t="s">
        <v>113018</v>
      </c>
    </row>
    <row r="214" spans="1:21" ht="30" x14ac:dyDescent="0.2">
      <c r="A214" s="322"/>
      <c r="B214" s="166" t="s">
        <v>105516</v>
      </c>
      <c r="C214" s="166" t="s">
        <v>105924</v>
      </c>
      <c r="D214" s="166" t="s">
        <v>105520</v>
      </c>
      <c r="E214" s="166" t="s">
        <v>105520</v>
      </c>
      <c r="F214" s="166" t="s">
        <v>105538</v>
      </c>
      <c r="G214" s="166" t="s">
        <v>105550</v>
      </c>
      <c r="H214" s="166"/>
      <c r="I214" s="166"/>
      <c r="J214" s="166"/>
      <c r="K214" s="167"/>
      <c r="L214" s="167"/>
      <c r="M214" s="168" t="s">
        <v>106669</v>
      </c>
      <c r="N214" s="169"/>
      <c r="O214" s="169"/>
      <c r="P214" s="170"/>
      <c r="Q214" s="170"/>
      <c r="R214" s="171">
        <f>+R215</f>
        <v>200000000</v>
      </c>
      <c r="S214" s="172"/>
      <c r="T214" s="172"/>
      <c r="U214" s="173"/>
    </row>
    <row r="215" spans="1:21" x14ac:dyDescent="0.2">
      <c r="A215" s="322"/>
      <c r="B215" s="79" t="s">
        <v>105516</v>
      </c>
      <c r="C215" s="79" t="s">
        <v>105924</v>
      </c>
      <c r="D215" s="79" t="s">
        <v>105520</v>
      </c>
      <c r="E215" s="79" t="s">
        <v>105520</v>
      </c>
      <c r="F215" s="79" t="s">
        <v>105538</v>
      </c>
      <c r="G215" s="79" t="s">
        <v>105550</v>
      </c>
      <c r="H215" s="79" t="s">
        <v>105520</v>
      </c>
      <c r="I215" s="79"/>
      <c r="J215" s="79"/>
      <c r="K215" s="79"/>
      <c r="L215" s="79"/>
      <c r="M215" s="81" t="s">
        <v>106671</v>
      </c>
      <c r="N215" s="82"/>
      <c r="O215" s="82"/>
      <c r="P215" s="83"/>
      <c r="Q215" s="83"/>
      <c r="R215" s="84">
        <f>+R216</f>
        <v>200000000</v>
      </c>
      <c r="S215" s="85"/>
      <c r="T215" s="85"/>
      <c r="U215" s="100"/>
    </row>
    <row r="216" spans="1:21" ht="45" x14ac:dyDescent="0.2">
      <c r="A216" s="322"/>
      <c r="B216" s="87"/>
      <c r="C216" s="88"/>
      <c r="D216" s="88"/>
      <c r="E216" s="88"/>
      <c r="F216" s="88"/>
      <c r="G216" s="88"/>
      <c r="H216" s="88"/>
      <c r="I216" s="88"/>
      <c r="J216" s="89"/>
      <c r="K216" s="89" t="s">
        <v>112216</v>
      </c>
      <c r="L216" s="90">
        <v>30171600</v>
      </c>
      <c r="M216" s="101" t="s">
        <v>113125</v>
      </c>
      <c r="N216" s="92">
        <v>45306</v>
      </c>
      <c r="O216" s="92" t="s">
        <v>113036</v>
      </c>
      <c r="P216" s="93" t="s">
        <v>113021</v>
      </c>
      <c r="Q216" s="93" t="s">
        <v>112998</v>
      </c>
      <c r="R216" s="94">
        <v>200000000</v>
      </c>
      <c r="S216" s="95"/>
      <c r="T216" s="96"/>
      <c r="U216" s="97" t="s">
        <v>112999</v>
      </c>
    </row>
    <row r="217" spans="1:21" x14ac:dyDescent="0.2">
      <c r="A217" s="322"/>
      <c r="B217" s="62" t="s">
        <v>105516</v>
      </c>
      <c r="C217" s="62" t="s">
        <v>105924</v>
      </c>
      <c r="D217" s="62" t="s">
        <v>105520</v>
      </c>
      <c r="E217" s="62" t="s">
        <v>105520</v>
      </c>
      <c r="F217" s="178" t="s">
        <v>105541</v>
      </c>
      <c r="G217" s="62"/>
      <c r="H217" s="62"/>
      <c r="I217" s="62"/>
      <c r="J217" s="62"/>
      <c r="K217" s="63"/>
      <c r="L217" s="64"/>
      <c r="M217" s="65" t="s">
        <v>112242</v>
      </c>
      <c r="N217" s="66"/>
      <c r="O217" s="66"/>
      <c r="P217" s="67"/>
      <c r="Q217" s="67"/>
      <c r="R217" s="68">
        <f>+R218+R220</f>
        <v>45000000</v>
      </c>
      <c r="S217" s="69"/>
      <c r="T217" s="69"/>
      <c r="U217" s="70"/>
    </row>
    <row r="218" spans="1:21" ht="30" x14ac:dyDescent="0.2">
      <c r="A218" s="322"/>
      <c r="B218" s="166" t="s">
        <v>105516</v>
      </c>
      <c r="C218" s="166" t="s">
        <v>105924</v>
      </c>
      <c r="D218" s="166" t="s">
        <v>105520</v>
      </c>
      <c r="E218" s="166" t="s">
        <v>105520</v>
      </c>
      <c r="F218" s="166" t="s">
        <v>105541</v>
      </c>
      <c r="G218" s="166" t="s">
        <v>105535</v>
      </c>
      <c r="H218" s="166"/>
      <c r="I218" s="166"/>
      <c r="J218" s="166"/>
      <c r="K218" s="167"/>
      <c r="L218" s="167"/>
      <c r="M218" s="168" t="s">
        <v>106709</v>
      </c>
      <c r="N218" s="169"/>
      <c r="O218" s="169"/>
      <c r="P218" s="170"/>
      <c r="Q218" s="170"/>
      <c r="R218" s="171">
        <f>+R219</f>
        <v>0</v>
      </c>
      <c r="S218" s="172"/>
      <c r="T218" s="172"/>
      <c r="U218" s="173"/>
    </row>
    <row r="219" spans="1:21" x14ac:dyDescent="0.2">
      <c r="A219" s="322"/>
      <c r="B219" s="87"/>
      <c r="C219" s="88"/>
      <c r="D219" s="88"/>
      <c r="E219" s="88"/>
      <c r="F219" s="88"/>
      <c r="G219" s="88"/>
      <c r="H219" s="88"/>
      <c r="I219" s="88"/>
      <c r="J219" s="89"/>
      <c r="K219" s="89" t="s">
        <v>112244</v>
      </c>
      <c r="L219" s="177"/>
      <c r="M219" s="101"/>
      <c r="N219" s="92"/>
      <c r="O219" s="92"/>
      <c r="P219" s="93"/>
      <c r="Q219" s="93"/>
      <c r="R219" s="94">
        <v>0</v>
      </c>
      <c r="S219" s="95"/>
      <c r="T219" s="96"/>
      <c r="U219" s="97"/>
    </row>
    <row r="220" spans="1:21" x14ac:dyDescent="0.2">
      <c r="A220" s="322"/>
      <c r="B220" s="166" t="s">
        <v>105516</v>
      </c>
      <c r="C220" s="166" t="s">
        <v>105924</v>
      </c>
      <c r="D220" s="166" t="s">
        <v>105520</v>
      </c>
      <c r="E220" s="166" t="s">
        <v>105520</v>
      </c>
      <c r="F220" s="166" t="s">
        <v>105541</v>
      </c>
      <c r="G220" s="175" t="s">
        <v>105547</v>
      </c>
      <c r="H220" s="166"/>
      <c r="I220" s="166"/>
      <c r="J220" s="166"/>
      <c r="K220" s="167"/>
      <c r="L220" s="167"/>
      <c r="M220" s="168" t="s">
        <v>106282</v>
      </c>
      <c r="N220" s="169"/>
      <c r="O220" s="169"/>
      <c r="P220" s="170"/>
      <c r="Q220" s="170"/>
      <c r="R220" s="171">
        <f>+R221</f>
        <v>45000000</v>
      </c>
      <c r="S220" s="172"/>
      <c r="T220" s="172"/>
      <c r="U220" s="173"/>
    </row>
    <row r="221" spans="1:21" ht="45" x14ac:dyDescent="0.2">
      <c r="A221" s="322"/>
      <c r="B221" s="87"/>
      <c r="C221" s="88"/>
      <c r="D221" s="88"/>
      <c r="E221" s="88"/>
      <c r="F221" s="88"/>
      <c r="G221" s="88"/>
      <c r="H221" s="88"/>
      <c r="I221" s="88"/>
      <c r="J221" s="89"/>
      <c r="K221" s="89" t="s">
        <v>112266</v>
      </c>
      <c r="L221" s="177">
        <v>46171619</v>
      </c>
      <c r="M221" s="101" t="s">
        <v>113235</v>
      </c>
      <c r="N221" s="92">
        <v>45366</v>
      </c>
      <c r="O221" s="92" t="s">
        <v>113000</v>
      </c>
      <c r="P221" s="93" t="s">
        <v>113001</v>
      </c>
      <c r="Q221" s="93" t="s">
        <v>112998</v>
      </c>
      <c r="R221" s="94">
        <v>45000000</v>
      </c>
      <c r="S221" s="95"/>
      <c r="T221" s="96"/>
      <c r="U221" s="97" t="s">
        <v>112999</v>
      </c>
    </row>
    <row r="222" spans="1:21" ht="15.75" x14ac:dyDescent="0.2">
      <c r="A222" s="322"/>
      <c r="B222" s="158" t="s">
        <v>105516</v>
      </c>
      <c r="C222" s="158" t="s">
        <v>105924</v>
      </c>
      <c r="D222" s="158" t="s">
        <v>105520</v>
      </c>
      <c r="E222" s="158" t="s">
        <v>105573</v>
      </c>
      <c r="F222" s="158"/>
      <c r="G222" s="158"/>
      <c r="H222" s="158"/>
      <c r="I222" s="158"/>
      <c r="J222" s="158"/>
      <c r="K222" s="159"/>
      <c r="L222" s="159">
        <v>30171700</v>
      </c>
      <c r="M222" s="160" t="s">
        <v>106777</v>
      </c>
      <c r="N222" s="161"/>
      <c r="O222" s="161"/>
      <c r="P222" s="162"/>
      <c r="Q222" s="162"/>
      <c r="R222" s="163">
        <f>SUM(R223+R243+R247+R256+R284)</f>
        <v>11191000000</v>
      </c>
      <c r="S222" s="164"/>
      <c r="T222" s="164"/>
      <c r="U222" s="165"/>
    </row>
    <row r="223" spans="1:21" x14ac:dyDescent="0.2">
      <c r="A223" s="322"/>
      <c r="B223" s="62" t="s">
        <v>105516</v>
      </c>
      <c r="C223" s="62" t="s">
        <v>105924</v>
      </c>
      <c r="D223" s="62" t="s">
        <v>105520</v>
      </c>
      <c r="E223" s="62" t="s">
        <v>105573</v>
      </c>
      <c r="F223" s="62" t="s">
        <v>105544</v>
      </c>
      <c r="G223" s="62"/>
      <c r="H223" s="62"/>
      <c r="I223" s="62"/>
      <c r="J223" s="62"/>
      <c r="K223" s="63"/>
      <c r="L223" s="64">
        <v>75153000</v>
      </c>
      <c r="M223" s="65" t="s">
        <v>106779</v>
      </c>
      <c r="N223" s="66"/>
      <c r="O223" s="66"/>
      <c r="P223" s="67"/>
      <c r="Q223" s="67"/>
      <c r="R223" s="68">
        <f>+R224</f>
        <v>8248270000</v>
      </c>
      <c r="S223" s="69"/>
      <c r="T223" s="69"/>
      <c r="U223" s="70"/>
    </row>
    <row r="224" spans="1:21" x14ac:dyDescent="0.2">
      <c r="A224" s="322"/>
      <c r="B224" s="166" t="s">
        <v>105516</v>
      </c>
      <c r="C224" s="166" t="s">
        <v>105924</v>
      </c>
      <c r="D224" s="166" t="s">
        <v>105520</v>
      </c>
      <c r="E224" s="166" t="s">
        <v>105573</v>
      </c>
      <c r="F224" s="166" t="s">
        <v>105544</v>
      </c>
      <c r="G224" s="166" t="s">
        <v>105541</v>
      </c>
      <c r="H224" s="166"/>
      <c r="I224" s="166"/>
      <c r="J224" s="166"/>
      <c r="K224" s="167"/>
      <c r="L224" s="167"/>
      <c r="M224" s="179" t="s">
        <v>106781</v>
      </c>
      <c r="N224" s="169"/>
      <c r="O224" s="169"/>
      <c r="P224" s="170"/>
      <c r="Q224" s="170"/>
      <c r="R224" s="171">
        <f>+R225+R234+R238</f>
        <v>8248270000</v>
      </c>
      <c r="S224" s="172"/>
      <c r="T224" s="172"/>
      <c r="U224" s="173"/>
    </row>
    <row r="225" spans="1:21" x14ac:dyDescent="0.2">
      <c r="A225" s="322"/>
      <c r="B225" s="79" t="s">
        <v>105516</v>
      </c>
      <c r="C225" s="79" t="s">
        <v>105924</v>
      </c>
      <c r="D225" s="79" t="s">
        <v>105520</v>
      </c>
      <c r="E225" s="79" t="s">
        <v>105573</v>
      </c>
      <c r="F225" s="79" t="s">
        <v>105544</v>
      </c>
      <c r="G225" s="79" t="s">
        <v>105541</v>
      </c>
      <c r="H225" s="79" t="s">
        <v>105924</v>
      </c>
      <c r="I225" s="79"/>
      <c r="J225" s="79"/>
      <c r="K225" s="79"/>
      <c r="L225" s="79"/>
      <c r="M225" s="81" t="s">
        <v>106811</v>
      </c>
      <c r="N225" s="82"/>
      <c r="O225" s="82"/>
      <c r="P225" s="83"/>
      <c r="Q225" s="83"/>
      <c r="R225" s="84">
        <f>SUM(R226:R233)</f>
        <v>6719670000</v>
      </c>
      <c r="S225" s="85"/>
      <c r="T225" s="85"/>
      <c r="U225" s="100"/>
    </row>
    <row r="226" spans="1:21" ht="65.25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113127</v>
      </c>
      <c r="M226" s="91" t="s">
        <v>113236</v>
      </c>
      <c r="N226" s="92">
        <v>45306</v>
      </c>
      <c r="O226" s="92" t="s">
        <v>113059</v>
      </c>
      <c r="P226" s="93" t="s">
        <v>113021</v>
      </c>
      <c r="Q226" s="93" t="s">
        <v>113126</v>
      </c>
      <c r="R226" s="94">
        <f>3000000000+2700000000</f>
        <v>5700000000</v>
      </c>
      <c r="S226" s="95"/>
      <c r="T226" s="127"/>
      <c r="U226" s="97" t="s">
        <v>112999</v>
      </c>
    </row>
    <row r="227" spans="1:21" ht="54" customHeight="1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113127</v>
      </c>
      <c r="M227" s="91" t="s">
        <v>113237</v>
      </c>
      <c r="N227" s="92">
        <v>45306</v>
      </c>
      <c r="O227" s="92" t="s">
        <v>113059</v>
      </c>
      <c r="P227" s="93" t="s">
        <v>113021</v>
      </c>
      <c r="Q227" s="93" t="s">
        <v>113126</v>
      </c>
      <c r="R227" s="94">
        <f>2700000000-2700000000</f>
        <v>0</v>
      </c>
      <c r="S227" s="95"/>
      <c r="T227" s="127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113128</v>
      </c>
      <c r="M228" s="91" t="s">
        <v>113238</v>
      </c>
      <c r="N228" s="92"/>
      <c r="O228" s="92"/>
      <c r="P228" s="93"/>
      <c r="Q228" s="93"/>
      <c r="R228" s="94">
        <v>225120000</v>
      </c>
      <c r="S228" s="95"/>
      <c r="T228" s="180"/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 t="s">
        <v>113128</v>
      </c>
      <c r="M229" s="91" t="s">
        <v>113239</v>
      </c>
      <c r="N229" s="92">
        <v>45397</v>
      </c>
      <c r="O229" s="92" t="s">
        <v>113086</v>
      </c>
      <c r="P229" s="93" t="s">
        <v>113067</v>
      </c>
      <c r="Q229" s="93" t="s">
        <v>113068</v>
      </c>
      <c r="R229" s="94">
        <v>225120000</v>
      </c>
      <c r="S229" s="182" t="s">
        <v>105533</v>
      </c>
      <c r="T229" s="310">
        <v>238680000</v>
      </c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113240</v>
      </c>
      <c r="N230" s="92"/>
      <c r="O230" s="92"/>
      <c r="P230" s="93"/>
      <c r="Q230" s="93"/>
      <c r="R230" s="94">
        <v>256940000</v>
      </c>
      <c r="S230" s="181"/>
      <c r="T230" s="127"/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>
        <v>72154100</v>
      </c>
      <c r="M231" s="91" t="s">
        <v>113241</v>
      </c>
      <c r="N231" s="92">
        <v>45397</v>
      </c>
      <c r="O231" s="92" t="s">
        <v>113086</v>
      </c>
      <c r="P231" s="93" t="s">
        <v>113067</v>
      </c>
      <c r="Q231" s="93" t="s">
        <v>113068</v>
      </c>
      <c r="R231" s="94">
        <v>256940000</v>
      </c>
      <c r="S231" s="95" t="s">
        <v>105533</v>
      </c>
      <c r="T231" s="311">
        <v>272400000</v>
      </c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 t="s">
        <v>113108</v>
      </c>
      <c r="M232" s="91" t="s">
        <v>113109</v>
      </c>
      <c r="N232" s="92">
        <v>45444</v>
      </c>
      <c r="O232" s="92" t="s">
        <v>112996</v>
      </c>
      <c r="P232" s="130" t="s">
        <v>113006</v>
      </c>
      <c r="Q232" s="93" t="s">
        <v>113051</v>
      </c>
      <c r="R232" s="94">
        <v>25550000</v>
      </c>
      <c r="S232" s="182"/>
      <c r="T232" s="180"/>
      <c r="U232" s="97" t="s">
        <v>112999</v>
      </c>
    </row>
    <row r="233" spans="1:21" ht="45" x14ac:dyDescent="0.2">
      <c r="A233" s="322"/>
      <c r="B233" s="87"/>
      <c r="C233" s="88"/>
      <c r="D233" s="88"/>
      <c r="E233" s="88"/>
      <c r="F233" s="88"/>
      <c r="G233" s="88"/>
      <c r="H233" s="88"/>
      <c r="I233" s="88"/>
      <c r="J233" s="89"/>
      <c r="K233" s="89" t="s">
        <v>112301</v>
      </c>
      <c r="L233" s="90">
        <v>72154100</v>
      </c>
      <c r="M233" s="91" t="s">
        <v>113185</v>
      </c>
      <c r="N233" s="92">
        <v>45474</v>
      </c>
      <c r="O233" s="92" t="s">
        <v>112996</v>
      </c>
      <c r="P233" s="130" t="s">
        <v>112997</v>
      </c>
      <c r="Q233" s="93" t="s">
        <v>113051</v>
      </c>
      <c r="R233" s="94">
        <v>30000000</v>
      </c>
      <c r="S233" s="182"/>
      <c r="T233" s="180"/>
      <c r="U233" s="97" t="s">
        <v>112999</v>
      </c>
    </row>
    <row r="234" spans="1:21" x14ac:dyDescent="0.2">
      <c r="A234" s="322"/>
      <c r="B234" s="79" t="s">
        <v>105516</v>
      </c>
      <c r="C234" s="79" t="s">
        <v>105924</v>
      </c>
      <c r="D234" s="79" t="s">
        <v>105520</v>
      </c>
      <c r="E234" s="79" t="s">
        <v>105573</v>
      </c>
      <c r="F234" s="79" t="s">
        <v>105544</v>
      </c>
      <c r="G234" s="79" t="s">
        <v>105541</v>
      </c>
      <c r="H234" s="79" t="s">
        <v>106100</v>
      </c>
      <c r="I234" s="79"/>
      <c r="J234" s="79"/>
      <c r="K234" s="79"/>
      <c r="L234" s="79"/>
      <c r="M234" s="81" t="s">
        <v>106813</v>
      </c>
      <c r="N234" s="82"/>
      <c r="O234" s="82"/>
      <c r="P234" s="83"/>
      <c r="Q234" s="83"/>
      <c r="R234" s="84">
        <f>SUM(R235:R237)</f>
        <v>124700000</v>
      </c>
      <c r="S234" s="85"/>
      <c r="T234" s="85"/>
      <c r="U234" s="100"/>
    </row>
    <row r="235" spans="1:21" ht="3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54">
        <v>72101500</v>
      </c>
      <c r="M235" s="101" t="s">
        <v>113129</v>
      </c>
      <c r="N235" s="92">
        <v>45301</v>
      </c>
      <c r="O235" s="92" t="s">
        <v>113181</v>
      </c>
      <c r="P235" s="93" t="s">
        <v>113186</v>
      </c>
      <c r="Q235" s="93" t="s">
        <v>113052</v>
      </c>
      <c r="R235" s="94">
        <v>29700000</v>
      </c>
      <c r="S235" s="95"/>
      <c r="T235" s="183"/>
      <c r="U235" s="97" t="s">
        <v>112999</v>
      </c>
    </row>
    <row r="236" spans="1:21" ht="60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113130</v>
      </c>
      <c r="M236" s="101" t="s">
        <v>113263</v>
      </c>
      <c r="N236" s="92">
        <v>45364</v>
      </c>
      <c r="O236" s="92" t="s">
        <v>113005</v>
      </c>
      <c r="P236" s="93" t="s">
        <v>113027</v>
      </c>
      <c r="Q236" s="93" t="s">
        <v>113095</v>
      </c>
      <c r="R236" s="94">
        <v>95000000</v>
      </c>
      <c r="S236" s="95"/>
      <c r="T236" s="183"/>
      <c r="U236" s="97" t="s">
        <v>113002</v>
      </c>
    </row>
    <row r="237" spans="1:21" ht="45" x14ac:dyDescent="0.2">
      <c r="A237" s="322"/>
      <c r="B237" s="87"/>
      <c r="C237" s="88"/>
      <c r="D237" s="88"/>
      <c r="E237" s="88"/>
      <c r="F237" s="88"/>
      <c r="G237" s="88"/>
      <c r="H237" s="88"/>
      <c r="I237" s="88"/>
      <c r="J237" s="89"/>
      <c r="K237" s="89" t="s">
        <v>112301</v>
      </c>
      <c r="L237" s="90" t="s">
        <v>113130</v>
      </c>
      <c r="M237" s="91" t="s">
        <v>113264</v>
      </c>
      <c r="N237" s="92">
        <v>44998</v>
      </c>
      <c r="O237" s="92" t="s">
        <v>113005</v>
      </c>
      <c r="P237" s="93" t="s">
        <v>113003</v>
      </c>
      <c r="Q237" s="93" t="s">
        <v>113095</v>
      </c>
      <c r="R237" s="94">
        <v>0</v>
      </c>
      <c r="S237" s="95"/>
      <c r="T237" s="183"/>
      <c r="U237" s="97" t="s">
        <v>113002</v>
      </c>
    </row>
    <row r="238" spans="1:21" x14ac:dyDescent="0.2">
      <c r="A238" s="322"/>
      <c r="B238" s="79" t="s">
        <v>105516</v>
      </c>
      <c r="C238" s="79" t="s">
        <v>105924</v>
      </c>
      <c r="D238" s="79" t="s">
        <v>105520</v>
      </c>
      <c r="E238" s="79" t="s">
        <v>105573</v>
      </c>
      <c r="F238" s="79" t="s">
        <v>105544</v>
      </c>
      <c r="G238" s="79" t="s">
        <v>105541</v>
      </c>
      <c r="H238" s="79" t="s">
        <v>106103</v>
      </c>
      <c r="I238" s="79"/>
      <c r="J238" s="79"/>
      <c r="K238" s="79"/>
      <c r="L238" s="79"/>
      <c r="M238" s="81" t="s">
        <v>106815</v>
      </c>
      <c r="N238" s="82"/>
      <c r="O238" s="82"/>
      <c r="P238" s="83"/>
      <c r="Q238" s="83"/>
      <c r="R238" s="84">
        <f>SUM(R239:R242)</f>
        <v>1403900000</v>
      </c>
      <c r="S238" s="85"/>
      <c r="T238" s="85"/>
      <c r="U238" s="100"/>
    </row>
    <row r="239" spans="1:21" ht="30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72141100</v>
      </c>
      <c r="M239" s="101" t="s">
        <v>113242</v>
      </c>
      <c r="N239" s="92">
        <v>45301</v>
      </c>
      <c r="O239" s="92" t="s">
        <v>113181</v>
      </c>
      <c r="P239" s="93" t="s">
        <v>113186</v>
      </c>
      <c r="Q239" s="93" t="s">
        <v>113052</v>
      </c>
      <c r="R239" s="94">
        <v>15600000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113131</v>
      </c>
      <c r="N240" s="92">
        <v>45301</v>
      </c>
      <c r="O240" s="92" t="s">
        <v>113181</v>
      </c>
      <c r="P240" s="93" t="s">
        <v>113186</v>
      </c>
      <c r="Q240" s="93" t="s">
        <v>113052</v>
      </c>
      <c r="R240" s="94">
        <v>302500000</v>
      </c>
      <c r="S240" s="95"/>
      <c r="T240" s="183"/>
      <c r="U240" s="97" t="s">
        <v>112999</v>
      </c>
    </row>
    <row r="241" spans="1:25" ht="45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54">
        <v>72101500</v>
      </c>
      <c r="M241" s="101" t="s">
        <v>113132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85800000</v>
      </c>
      <c r="S241" s="95"/>
      <c r="T241" s="183"/>
      <c r="U241" s="97" t="s">
        <v>112999</v>
      </c>
    </row>
    <row r="242" spans="1:25" ht="30" x14ac:dyDescent="0.2">
      <c r="A242" s="322"/>
      <c r="B242" s="87"/>
      <c r="C242" s="88"/>
      <c r="D242" s="88"/>
      <c r="E242" s="88"/>
      <c r="F242" s="88"/>
      <c r="G242" s="88"/>
      <c r="H242" s="88"/>
      <c r="I242" s="88"/>
      <c r="J242" s="89"/>
      <c r="K242" s="89" t="s">
        <v>112301</v>
      </c>
      <c r="L242" s="90">
        <v>72101500</v>
      </c>
      <c r="M242" s="101" t="s">
        <v>113133</v>
      </c>
      <c r="N242" s="92">
        <v>45301</v>
      </c>
      <c r="O242" s="92" t="s">
        <v>113059</v>
      </c>
      <c r="P242" s="93" t="s">
        <v>113010</v>
      </c>
      <c r="Q242" s="93" t="s">
        <v>113052</v>
      </c>
      <c r="R242" s="94">
        <v>1000000000</v>
      </c>
      <c r="S242" s="95"/>
      <c r="T242" s="183"/>
      <c r="U242" s="97" t="s">
        <v>112999</v>
      </c>
    </row>
    <row r="243" spans="1:25" ht="45" x14ac:dyDescent="0.2">
      <c r="A243" s="322"/>
      <c r="B243" s="184" t="s">
        <v>105516</v>
      </c>
      <c r="C243" s="184" t="s">
        <v>105924</v>
      </c>
      <c r="D243" s="184" t="s">
        <v>105520</v>
      </c>
      <c r="E243" s="184" t="s">
        <v>105573</v>
      </c>
      <c r="F243" s="184" t="s">
        <v>105547</v>
      </c>
      <c r="G243" s="184"/>
      <c r="H243" s="184"/>
      <c r="I243" s="184"/>
      <c r="J243" s="184"/>
      <c r="K243" s="185"/>
      <c r="L243" s="64"/>
      <c r="M243" s="65" t="s">
        <v>112320</v>
      </c>
      <c r="N243" s="66"/>
      <c r="O243" s="186"/>
      <c r="P243" s="67"/>
      <c r="Q243" s="67"/>
      <c r="R243" s="68">
        <f>+R244</f>
        <v>3400000</v>
      </c>
      <c r="S243" s="69"/>
      <c r="T243" s="69"/>
      <c r="U243" s="70"/>
    </row>
    <row r="244" spans="1:25" x14ac:dyDescent="0.2">
      <c r="A244" s="322"/>
      <c r="B244" s="187" t="s">
        <v>105516</v>
      </c>
      <c r="C244" s="187" t="s">
        <v>105924</v>
      </c>
      <c r="D244" s="187" t="s">
        <v>105520</v>
      </c>
      <c r="E244" s="187" t="s">
        <v>105573</v>
      </c>
      <c r="F244" s="187" t="s">
        <v>105547</v>
      </c>
      <c r="G244" s="187" t="s">
        <v>105550</v>
      </c>
      <c r="H244" s="187"/>
      <c r="I244" s="187"/>
      <c r="J244" s="187"/>
      <c r="K244" s="188"/>
      <c r="L244" s="167"/>
      <c r="M244" s="168" t="s">
        <v>106841</v>
      </c>
      <c r="N244" s="169"/>
      <c r="O244" s="169"/>
      <c r="P244" s="170"/>
      <c r="Q244" s="170"/>
      <c r="R244" s="171">
        <f>+R245</f>
        <v>3400000</v>
      </c>
      <c r="S244" s="172"/>
      <c r="T244" s="172"/>
      <c r="U244" s="173"/>
    </row>
    <row r="245" spans="1:25" x14ac:dyDescent="0.2">
      <c r="A245" s="322"/>
      <c r="B245" s="80" t="s">
        <v>105516</v>
      </c>
      <c r="C245" s="80" t="s">
        <v>105924</v>
      </c>
      <c r="D245" s="80" t="s">
        <v>105520</v>
      </c>
      <c r="E245" s="80" t="s">
        <v>105573</v>
      </c>
      <c r="F245" s="80" t="s">
        <v>105547</v>
      </c>
      <c r="G245" s="80" t="s">
        <v>105550</v>
      </c>
      <c r="H245" s="80" t="s">
        <v>105520</v>
      </c>
      <c r="I245" s="80"/>
      <c r="J245" s="80"/>
      <c r="K245" s="80"/>
      <c r="L245" s="79"/>
      <c r="M245" s="81" t="s">
        <v>106843</v>
      </c>
      <c r="N245" s="82"/>
      <c r="O245" s="82"/>
      <c r="P245" s="83"/>
      <c r="Q245" s="83"/>
      <c r="R245" s="84">
        <f>+R246</f>
        <v>3400000</v>
      </c>
      <c r="S245" s="85"/>
      <c r="T245" s="85"/>
      <c r="U245" s="86"/>
    </row>
    <row r="246" spans="1:25" ht="30" x14ac:dyDescent="0.2">
      <c r="A246" s="322"/>
      <c r="B246" s="87"/>
      <c r="C246" s="88"/>
      <c r="D246" s="88"/>
      <c r="E246" s="88"/>
      <c r="F246" s="88"/>
      <c r="G246" s="88"/>
      <c r="H246" s="88"/>
      <c r="I246" s="88"/>
      <c r="J246" s="89"/>
      <c r="K246" s="89" t="s">
        <v>112476</v>
      </c>
      <c r="L246" s="54">
        <v>78121600</v>
      </c>
      <c r="M246" s="101" t="s">
        <v>113134</v>
      </c>
      <c r="N246" s="92">
        <v>45301</v>
      </c>
      <c r="O246" s="92" t="s">
        <v>113181</v>
      </c>
      <c r="P246" s="93" t="s">
        <v>113010</v>
      </c>
      <c r="Q246" s="93" t="s">
        <v>113052</v>
      </c>
      <c r="R246" s="94">
        <f>25300000-1400000-20500000</f>
        <v>3400000</v>
      </c>
      <c r="S246" s="131"/>
      <c r="T246" s="189"/>
      <c r="U246" s="97" t="s">
        <v>112999</v>
      </c>
      <c r="W246" s="329"/>
      <c r="X246" s="330"/>
      <c r="Y246" s="330"/>
    </row>
    <row r="247" spans="1:25" ht="30" x14ac:dyDescent="0.2">
      <c r="A247" s="322"/>
      <c r="B247" s="62" t="s">
        <v>105516</v>
      </c>
      <c r="C247" s="62" t="s">
        <v>105924</v>
      </c>
      <c r="D247" s="62" t="s">
        <v>105520</v>
      </c>
      <c r="E247" s="62" t="s">
        <v>105573</v>
      </c>
      <c r="F247" s="62" t="s">
        <v>105550</v>
      </c>
      <c r="G247" s="62"/>
      <c r="H247" s="62"/>
      <c r="I247" s="62"/>
      <c r="J247" s="62"/>
      <c r="K247" s="63"/>
      <c r="L247" s="64"/>
      <c r="M247" s="65" t="s">
        <v>106865</v>
      </c>
      <c r="N247" s="66"/>
      <c r="O247" s="186"/>
      <c r="P247" s="67"/>
      <c r="Q247" s="67"/>
      <c r="R247" s="68">
        <f>+R248+R252</f>
        <v>199331200</v>
      </c>
      <c r="S247" s="69"/>
      <c r="T247" s="69"/>
      <c r="U247" s="70"/>
    </row>
    <row r="248" spans="1:25" x14ac:dyDescent="0.2">
      <c r="A248" s="322"/>
      <c r="B248" s="166" t="s">
        <v>105516</v>
      </c>
      <c r="C248" s="166" t="s">
        <v>105924</v>
      </c>
      <c r="D248" s="166" t="s">
        <v>105520</v>
      </c>
      <c r="E248" s="166" t="s">
        <v>105573</v>
      </c>
      <c r="F248" s="166" t="s">
        <v>105550</v>
      </c>
      <c r="G248" s="187" t="s">
        <v>105528</v>
      </c>
      <c r="H248" s="166"/>
      <c r="I248" s="166"/>
      <c r="J248" s="166"/>
      <c r="K248" s="167"/>
      <c r="L248" s="167"/>
      <c r="M248" s="168" t="s">
        <v>106867</v>
      </c>
      <c r="N248" s="169"/>
      <c r="O248" s="169"/>
      <c r="P248" s="170"/>
      <c r="Q248" s="170"/>
      <c r="R248" s="171">
        <f>+R249</f>
        <v>75000000</v>
      </c>
      <c r="S248" s="172"/>
      <c r="T248" s="172"/>
      <c r="U248" s="173"/>
    </row>
    <row r="249" spans="1:25" ht="30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/>
      <c r="J249" s="80"/>
      <c r="K249" s="80"/>
      <c r="L249" s="79"/>
      <c r="M249" s="81" t="s">
        <v>106882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5" x14ac:dyDescent="0.2">
      <c r="A250" s="322"/>
      <c r="B250" s="80" t="s">
        <v>105516</v>
      </c>
      <c r="C250" s="80" t="s">
        <v>105924</v>
      </c>
      <c r="D250" s="80" t="s">
        <v>105520</v>
      </c>
      <c r="E250" s="80" t="s">
        <v>105573</v>
      </c>
      <c r="F250" s="80" t="s">
        <v>105550</v>
      </c>
      <c r="G250" s="80" t="s">
        <v>105528</v>
      </c>
      <c r="H250" s="80" t="s">
        <v>105675</v>
      </c>
      <c r="I250" s="80" t="s">
        <v>106211</v>
      </c>
      <c r="J250" s="80"/>
      <c r="K250" s="80"/>
      <c r="L250" s="79"/>
      <c r="M250" s="81" t="s">
        <v>113135</v>
      </c>
      <c r="N250" s="82"/>
      <c r="O250" s="82"/>
      <c r="P250" s="83"/>
      <c r="Q250" s="83"/>
      <c r="R250" s="84">
        <f>+R251</f>
        <v>75000000</v>
      </c>
      <c r="S250" s="85"/>
      <c r="T250" s="85"/>
      <c r="U250" s="86"/>
    </row>
    <row r="251" spans="1:25" ht="30" x14ac:dyDescent="0.2">
      <c r="A251" s="322"/>
      <c r="B251" s="190"/>
      <c r="C251" s="191"/>
      <c r="D251" s="191"/>
      <c r="E251" s="191"/>
      <c r="F251" s="191"/>
      <c r="G251" s="191"/>
      <c r="H251" s="191"/>
      <c r="I251" s="191"/>
      <c r="J251" s="192"/>
      <c r="K251" s="89" t="s">
        <v>112489</v>
      </c>
      <c r="L251" s="54"/>
      <c r="M251" s="101" t="s">
        <v>113136</v>
      </c>
      <c r="N251" s="92" t="s">
        <v>113030</v>
      </c>
      <c r="O251" s="92" t="s">
        <v>113030</v>
      </c>
      <c r="P251" s="92" t="s">
        <v>113030</v>
      </c>
      <c r="Q251" s="92" t="s">
        <v>113030</v>
      </c>
      <c r="R251" s="94">
        <v>75000000</v>
      </c>
      <c r="S251" s="95"/>
      <c r="T251" s="96"/>
      <c r="U251" s="97" t="s">
        <v>112999</v>
      </c>
    </row>
    <row r="252" spans="1:25" x14ac:dyDescent="0.2">
      <c r="A252" s="322"/>
      <c r="B252" s="166" t="s">
        <v>105516</v>
      </c>
      <c r="C252" s="166" t="s">
        <v>105924</v>
      </c>
      <c r="D252" s="166" t="s">
        <v>105520</v>
      </c>
      <c r="E252" s="166" t="s">
        <v>105573</v>
      </c>
      <c r="F252" s="166" t="s">
        <v>105550</v>
      </c>
      <c r="G252" s="166" t="s">
        <v>105535</v>
      </c>
      <c r="H252" s="166"/>
      <c r="I252" s="166"/>
      <c r="J252" s="166"/>
      <c r="K252" s="167"/>
      <c r="L252" s="167"/>
      <c r="M252" s="168" t="s">
        <v>106948</v>
      </c>
      <c r="N252" s="169"/>
      <c r="O252" s="169"/>
      <c r="P252" s="170"/>
      <c r="Q252" s="170"/>
      <c r="R252" s="171">
        <f>+R253</f>
        <v>124331200</v>
      </c>
      <c r="S252" s="172"/>
      <c r="T252" s="172"/>
      <c r="U252" s="173"/>
    </row>
    <row r="253" spans="1:25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80" t="s">
        <v>105520</v>
      </c>
      <c r="I253" s="79"/>
      <c r="J253" s="79"/>
      <c r="K253" s="79"/>
      <c r="L253" s="79"/>
      <c r="M253" s="81" t="s">
        <v>106958</v>
      </c>
      <c r="N253" s="82"/>
      <c r="O253" s="82"/>
      <c r="P253" s="83"/>
      <c r="Q253" s="83"/>
      <c r="R253" s="84">
        <f>+R254</f>
        <v>124331200</v>
      </c>
      <c r="S253" s="85"/>
      <c r="T253" s="85"/>
      <c r="U253" s="100"/>
    </row>
    <row r="254" spans="1:25" ht="30" x14ac:dyDescent="0.2">
      <c r="A254" s="322"/>
      <c r="B254" s="80" t="s">
        <v>105516</v>
      </c>
      <c r="C254" s="80" t="s">
        <v>105924</v>
      </c>
      <c r="D254" s="80" t="s">
        <v>105520</v>
      </c>
      <c r="E254" s="80" t="s">
        <v>105573</v>
      </c>
      <c r="F254" s="80" t="s">
        <v>105550</v>
      </c>
      <c r="G254" s="80" t="s">
        <v>105535</v>
      </c>
      <c r="H254" s="79" t="s">
        <v>105520</v>
      </c>
      <c r="I254" s="79" t="s">
        <v>105576</v>
      </c>
      <c r="J254" s="79"/>
      <c r="K254" s="79"/>
      <c r="L254" s="79"/>
      <c r="M254" s="81" t="s">
        <v>106960</v>
      </c>
      <c r="N254" s="82"/>
      <c r="O254" s="82"/>
      <c r="P254" s="83"/>
      <c r="Q254" s="83"/>
      <c r="R254" s="84">
        <f>+R255</f>
        <v>124331200</v>
      </c>
      <c r="S254" s="85"/>
      <c r="T254" s="85"/>
      <c r="U254" s="100"/>
    </row>
    <row r="255" spans="1:25" x14ac:dyDescent="0.2">
      <c r="A255" s="322"/>
      <c r="B255" s="190"/>
      <c r="C255" s="191"/>
      <c r="D255" s="191"/>
      <c r="E255" s="191"/>
      <c r="F255" s="191"/>
      <c r="G255" s="191"/>
      <c r="H255" s="191"/>
      <c r="I255" s="191"/>
      <c r="J255" s="192"/>
      <c r="K255" s="89" t="s">
        <v>112528</v>
      </c>
      <c r="L255" s="54"/>
      <c r="M255" s="91" t="s">
        <v>113137</v>
      </c>
      <c r="N255" s="92">
        <v>45293</v>
      </c>
      <c r="O255" s="92" t="s">
        <v>113059</v>
      </c>
      <c r="P255" s="130" t="s">
        <v>113067</v>
      </c>
      <c r="Q255" s="92" t="s">
        <v>113030</v>
      </c>
      <c r="R255" s="94">
        <f>122931200+1400000</f>
        <v>124331200</v>
      </c>
      <c r="S255" s="95"/>
      <c r="T255" s="96"/>
      <c r="U255" s="97" t="s">
        <v>113063</v>
      </c>
    </row>
    <row r="256" spans="1:25" ht="30" x14ac:dyDescent="0.2">
      <c r="A256" s="322"/>
      <c r="B256" s="62" t="s">
        <v>105516</v>
      </c>
      <c r="C256" s="62" t="s">
        <v>105924</v>
      </c>
      <c r="D256" s="62" t="s">
        <v>105520</v>
      </c>
      <c r="E256" s="62" t="s">
        <v>105573</v>
      </c>
      <c r="F256" s="62" t="s">
        <v>105553</v>
      </c>
      <c r="G256" s="62"/>
      <c r="H256" s="62"/>
      <c r="I256" s="62"/>
      <c r="J256" s="62"/>
      <c r="K256" s="63"/>
      <c r="L256" s="64"/>
      <c r="M256" s="65" t="s">
        <v>106978</v>
      </c>
      <c r="N256" s="66"/>
      <c r="O256" s="66"/>
      <c r="P256" s="67"/>
      <c r="Q256" s="67"/>
      <c r="R256" s="68">
        <f>+R257+R266+R279</f>
        <v>2735132800</v>
      </c>
      <c r="S256" s="69"/>
      <c r="T256" s="69"/>
      <c r="U256" s="70"/>
    </row>
    <row r="257" spans="1:21" x14ac:dyDescent="0.2">
      <c r="A257" s="322"/>
      <c r="B257" s="166" t="s">
        <v>105516</v>
      </c>
      <c r="C257" s="166" t="s">
        <v>105924</v>
      </c>
      <c r="D257" s="166" t="s">
        <v>105520</v>
      </c>
      <c r="E257" s="166" t="s">
        <v>105573</v>
      </c>
      <c r="F257" s="166" t="s">
        <v>105553</v>
      </c>
      <c r="G257" s="166" t="s">
        <v>105538</v>
      </c>
      <c r="H257" s="166"/>
      <c r="I257" s="166"/>
      <c r="J257" s="166"/>
      <c r="K257" s="167"/>
      <c r="L257" s="167"/>
      <c r="M257" s="168" t="s">
        <v>106998</v>
      </c>
      <c r="N257" s="169"/>
      <c r="O257" s="169"/>
      <c r="P257" s="170"/>
      <c r="Q257" s="170"/>
      <c r="R257" s="171">
        <f>+R258</f>
        <v>171000000</v>
      </c>
      <c r="S257" s="172"/>
      <c r="T257" s="172"/>
      <c r="U257" s="173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/>
      <c r="J258" s="79"/>
      <c r="K258" s="79"/>
      <c r="L258" s="79"/>
      <c r="M258" s="81" t="s">
        <v>107000</v>
      </c>
      <c r="N258" s="82"/>
      <c r="O258" s="82"/>
      <c r="P258" s="83"/>
      <c r="Q258" s="83"/>
      <c r="R258" s="84">
        <f>+R259</f>
        <v>171000000</v>
      </c>
      <c r="S258" s="85"/>
      <c r="T258" s="85"/>
      <c r="U258" s="100"/>
    </row>
    <row r="259" spans="1:21" ht="30" x14ac:dyDescent="0.2">
      <c r="A259" s="322"/>
      <c r="B259" s="79" t="s">
        <v>105516</v>
      </c>
      <c r="C259" s="79" t="s">
        <v>105924</v>
      </c>
      <c r="D259" s="79" t="s">
        <v>105520</v>
      </c>
      <c r="E259" s="79" t="s">
        <v>105573</v>
      </c>
      <c r="F259" s="79" t="s">
        <v>105553</v>
      </c>
      <c r="G259" s="79" t="s">
        <v>105538</v>
      </c>
      <c r="H259" s="79" t="s">
        <v>105520</v>
      </c>
      <c r="I259" s="79" t="s">
        <v>105576</v>
      </c>
      <c r="J259" s="79"/>
      <c r="K259" s="79"/>
      <c r="L259" s="79"/>
      <c r="M259" s="81" t="s">
        <v>107002</v>
      </c>
      <c r="N259" s="82"/>
      <c r="O259" s="82"/>
      <c r="P259" s="83"/>
      <c r="Q259" s="83"/>
      <c r="R259" s="84">
        <f>SUM(R260:R265)</f>
        <v>171000000</v>
      </c>
      <c r="S259" s="85"/>
      <c r="T259" s="85"/>
      <c r="U259" s="100"/>
    </row>
    <row r="260" spans="1:21" ht="60" x14ac:dyDescent="0.2">
      <c r="A260" s="322"/>
      <c r="B260" s="87"/>
      <c r="C260" s="88"/>
      <c r="D260" s="88"/>
      <c r="E260" s="88"/>
      <c r="F260" s="88"/>
      <c r="G260" s="88"/>
      <c r="H260" s="88"/>
      <c r="I260" s="88"/>
      <c r="J260" s="89"/>
      <c r="K260" s="89" t="s">
        <v>112567</v>
      </c>
      <c r="L260" s="90" t="s">
        <v>113230</v>
      </c>
      <c r="M260" s="101" t="s">
        <v>113231</v>
      </c>
      <c r="N260" s="92">
        <v>45536</v>
      </c>
      <c r="O260" s="92" t="s">
        <v>113077</v>
      </c>
      <c r="P260" s="93" t="s">
        <v>113006</v>
      </c>
      <c r="Q260" s="93" t="s">
        <v>113110</v>
      </c>
      <c r="R260" s="94">
        <v>35000000</v>
      </c>
      <c r="S260" s="95"/>
      <c r="T260" s="96"/>
      <c r="U260" s="97" t="s">
        <v>113018</v>
      </c>
    </row>
    <row r="261" spans="1:21" ht="7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90">
        <v>80101500</v>
      </c>
      <c r="M261" s="91" t="s">
        <v>113139</v>
      </c>
      <c r="N261" s="92">
        <v>45323</v>
      </c>
      <c r="O261" s="92" t="s">
        <v>113036</v>
      </c>
      <c r="P261" s="93" t="s">
        <v>113010</v>
      </c>
      <c r="Q261" s="130" t="s">
        <v>113070</v>
      </c>
      <c r="R261" s="94">
        <v>35200000</v>
      </c>
      <c r="S261" s="95"/>
      <c r="T261" s="96"/>
      <c r="U261" s="97" t="s">
        <v>113018</v>
      </c>
    </row>
    <row r="262" spans="1:21" ht="30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/>
      <c r="L262" s="90">
        <v>80161500</v>
      </c>
      <c r="M262" s="91" t="s">
        <v>113312</v>
      </c>
      <c r="N262" s="92">
        <v>45384</v>
      </c>
      <c r="O262" s="92" t="s">
        <v>113005</v>
      </c>
      <c r="P262" s="93" t="s">
        <v>113144</v>
      </c>
      <c r="Q262" s="130" t="s">
        <v>113052</v>
      </c>
      <c r="R262" s="94">
        <v>20500000</v>
      </c>
      <c r="S262" s="95"/>
      <c r="T262" s="96"/>
      <c r="U262" s="97"/>
    </row>
    <row r="263" spans="1:21" ht="45" x14ac:dyDescent="0.2">
      <c r="A263" s="322"/>
      <c r="B263" s="135"/>
      <c r="C263" s="136"/>
      <c r="D263" s="136"/>
      <c r="E263" s="136"/>
      <c r="F263" s="136"/>
      <c r="G263" s="136"/>
      <c r="H263" s="136"/>
      <c r="I263" s="136"/>
      <c r="J263" s="137"/>
      <c r="K263" s="137" t="s">
        <v>112567</v>
      </c>
      <c r="L263" s="54">
        <v>80101500</v>
      </c>
      <c r="M263" s="101" t="s">
        <v>113140</v>
      </c>
      <c r="N263" s="92">
        <v>45323</v>
      </c>
      <c r="O263" s="92" t="s">
        <v>113036</v>
      </c>
      <c r="P263" s="93" t="s">
        <v>113010</v>
      </c>
      <c r="Q263" s="93" t="s">
        <v>113070</v>
      </c>
      <c r="R263" s="94">
        <v>35200000</v>
      </c>
      <c r="S263" s="95"/>
      <c r="T263" s="96"/>
      <c r="U263" s="97" t="s">
        <v>113018</v>
      </c>
    </row>
    <row r="264" spans="1:21" ht="45" x14ac:dyDescent="0.2">
      <c r="A264" s="322"/>
      <c r="B264" s="135"/>
      <c r="C264" s="136"/>
      <c r="D264" s="136"/>
      <c r="E264" s="136"/>
      <c r="F264" s="136"/>
      <c r="G264" s="136"/>
      <c r="H264" s="136"/>
      <c r="I264" s="136"/>
      <c r="J264" s="137"/>
      <c r="K264" s="137" t="s">
        <v>112567</v>
      </c>
      <c r="L264" s="54">
        <v>80101500</v>
      </c>
      <c r="M264" s="101" t="s">
        <v>113232</v>
      </c>
      <c r="N264" s="92">
        <v>45323</v>
      </c>
      <c r="O264" s="92" t="s">
        <v>113036</v>
      </c>
      <c r="P264" s="93" t="s">
        <v>113010</v>
      </c>
      <c r="Q264" s="93" t="s">
        <v>113070</v>
      </c>
      <c r="R264" s="94">
        <v>0</v>
      </c>
      <c r="S264" s="95"/>
      <c r="T264" s="96"/>
      <c r="U264" s="97" t="s">
        <v>113018</v>
      </c>
    </row>
    <row r="265" spans="1:21" s="199" customFormat="1" ht="30" x14ac:dyDescent="0.2">
      <c r="A265" s="327"/>
      <c r="B265" s="193"/>
      <c r="C265" s="194"/>
      <c r="D265" s="194"/>
      <c r="E265" s="194"/>
      <c r="F265" s="194"/>
      <c r="G265" s="194"/>
      <c r="H265" s="194"/>
      <c r="I265" s="194"/>
      <c r="J265" s="195"/>
      <c r="K265" s="195" t="s">
        <v>112567</v>
      </c>
      <c r="L265" s="177">
        <v>80161500</v>
      </c>
      <c r="M265" s="101" t="s">
        <v>113138</v>
      </c>
      <c r="N265" s="92">
        <v>45301</v>
      </c>
      <c r="O265" s="92" t="s">
        <v>113059</v>
      </c>
      <c r="P265" s="93" t="s">
        <v>113178</v>
      </c>
      <c r="Q265" s="93" t="s">
        <v>113052</v>
      </c>
      <c r="R265" s="94">
        <v>45100000</v>
      </c>
      <c r="S265" s="196"/>
      <c r="T265" s="197"/>
      <c r="U265" s="198" t="s">
        <v>112999</v>
      </c>
    </row>
    <row r="266" spans="1:21" x14ac:dyDescent="0.2">
      <c r="A266" s="322"/>
      <c r="B266" s="166" t="s">
        <v>105516</v>
      </c>
      <c r="C266" s="166" t="s">
        <v>105924</v>
      </c>
      <c r="D266" s="166" t="s">
        <v>105520</v>
      </c>
      <c r="E266" s="166" t="s">
        <v>105573</v>
      </c>
      <c r="F266" s="166" t="s">
        <v>105553</v>
      </c>
      <c r="G266" s="166" t="s">
        <v>105544</v>
      </c>
      <c r="H266" s="166"/>
      <c r="I266" s="166"/>
      <c r="J266" s="166"/>
      <c r="K266" s="167"/>
      <c r="L266" s="167"/>
      <c r="M266" s="168" t="s">
        <v>107054</v>
      </c>
      <c r="N266" s="169"/>
      <c r="O266" s="169"/>
      <c r="P266" s="170"/>
      <c r="Q266" s="170"/>
      <c r="R266" s="171">
        <f>SUM(R267+R270)</f>
        <v>2447676000</v>
      </c>
      <c r="S266" s="172"/>
      <c r="T266" s="172"/>
      <c r="U266" s="173"/>
    </row>
    <row r="267" spans="1:21" x14ac:dyDescent="0.2">
      <c r="A267" s="322"/>
      <c r="B267" s="79" t="s">
        <v>105516</v>
      </c>
      <c r="C267" s="79" t="s">
        <v>105924</v>
      </c>
      <c r="D267" s="79" t="s">
        <v>105520</v>
      </c>
      <c r="E267" s="79" t="s">
        <v>105573</v>
      </c>
      <c r="F267" s="79" t="s">
        <v>105553</v>
      </c>
      <c r="G267" s="79" t="s">
        <v>105544</v>
      </c>
      <c r="H267" s="79" t="s">
        <v>105573</v>
      </c>
      <c r="I267" s="79"/>
      <c r="J267" s="79"/>
      <c r="K267" s="79"/>
      <c r="L267" s="79"/>
      <c r="M267" s="81" t="s">
        <v>113141</v>
      </c>
      <c r="N267" s="82"/>
      <c r="O267" s="82"/>
      <c r="P267" s="83"/>
      <c r="Q267" s="83"/>
      <c r="R267" s="84">
        <f>SUM(R268:R269)</f>
        <v>330912042.60000002</v>
      </c>
      <c r="S267" s="85"/>
      <c r="T267" s="85"/>
      <c r="U267" s="100"/>
    </row>
    <row r="268" spans="1:21" ht="45" x14ac:dyDescent="0.2">
      <c r="A268" s="322"/>
      <c r="B268" s="87"/>
      <c r="C268" s="88"/>
      <c r="D268" s="88"/>
      <c r="E268" s="88"/>
      <c r="F268" s="88"/>
      <c r="G268" s="88"/>
      <c r="H268" s="88"/>
      <c r="I268" s="88"/>
      <c r="J268" s="89"/>
      <c r="K268" s="89"/>
      <c r="L268" s="200">
        <v>92121500</v>
      </c>
      <c r="M268" s="91" t="s">
        <v>113243</v>
      </c>
      <c r="N268" s="92">
        <v>45397</v>
      </c>
      <c r="O268" s="92" t="s">
        <v>113086</v>
      </c>
      <c r="P268" s="93" t="s">
        <v>113067</v>
      </c>
      <c r="Q268" s="93" t="s">
        <v>113095</v>
      </c>
      <c r="R268" s="94">
        <v>166380000</v>
      </c>
      <c r="S268" s="201" t="s">
        <v>105533</v>
      </c>
      <c r="T268" s="313">
        <v>164940000</v>
      </c>
      <c r="U268" s="182" t="s">
        <v>112999</v>
      </c>
    </row>
    <row r="269" spans="1:21" ht="45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/>
      <c r="L269" s="200">
        <v>92121500</v>
      </c>
      <c r="M269" s="129" t="s">
        <v>113271</v>
      </c>
      <c r="N269" s="92"/>
      <c r="O269" s="92"/>
      <c r="P269" s="130"/>
      <c r="Q269" s="93"/>
      <c r="R269" s="94">
        <v>164532042.59999999</v>
      </c>
      <c r="S269" s="182"/>
      <c r="T269" s="202"/>
      <c r="U269" s="97" t="s">
        <v>112999</v>
      </c>
    </row>
    <row r="270" spans="1:21" x14ac:dyDescent="0.2">
      <c r="A270" s="322"/>
      <c r="B270" s="79" t="s">
        <v>105516</v>
      </c>
      <c r="C270" s="79" t="s">
        <v>105924</v>
      </c>
      <c r="D270" s="79" t="s">
        <v>105520</v>
      </c>
      <c r="E270" s="79" t="s">
        <v>105573</v>
      </c>
      <c r="F270" s="79" t="s">
        <v>105553</v>
      </c>
      <c r="G270" s="79" t="s">
        <v>105544</v>
      </c>
      <c r="H270" s="79" t="s">
        <v>105675</v>
      </c>
      <c r="I270" s="79"/>
      <c r="J270" s="79"/>
      <c r="K270" s="79"/>
      <c r="L270" s="79"/>
      <c r="M270" s="81" t="s">
        <v>107060</v>
      </c>
      <c r="N270" s="82"/>
      <c r="O270" s="82" t="s">
        <v>112994</v>
      </c>
      <c r="P270" s="83"/>
      <c r="Q270" s="83"/>
      <c r="R270" s="84">
        <f>SUM(R271:R278)</f>
        <v>2116763957.4000001</v>
      </c>
      <c r="S270" s="85"/>
      <c r="T270" s="85"/>
      <c r="U270" s="100"/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113244</v>
      </c>
      <c r="N271" s="92"/>
      <c r="O271" s="92"/>
      <c r="P271" s="130"/>
      <c r="Q271" s="93"/>
      <c r="R271" s="94">
        <f>560000000+6361000+7703000</f>
        <v>574064000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113245</v>
      </c>
      <c r="N272" s="92"/>
      <c r="O272" s="92"/>
      <c r="P272" s="130"/>
      <c r="Q272" s="93"/>
      <c r="R272" s="94">
        <f>40450000+55319000</f>
        <v>95769000</v>
      </c>
      <c r="S272" s="95"/>
      <c r="T272" s="202"/>
      <c r="U272" s="97" t="s">
        <v>112999</v>
      </c>
    </row>
    <row r="273" spans="1:21" ht="30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113246</v>
      </c>
      <c r="N273" s="92">
        <v>45381</v>
      </c>
      <c r="O273" s="92" t="s">
        <v>113005</v>
      </c>
      <c r="P273" s="130" t="s">
        <v>113044</v>
      </c>
      <c r="Q273" s="93" t="s">
        <v>113040</v>
      </c>
      <c r="R273" s="94">
        <f>840000000-6361000-55319000</f>
        <v>778320000</v>
      </c>
      <c r="S273" s="95"/>
      <c r="T273" s="202"/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113247</v>
      </c>
      <c r="N274" s="92">
        <v>45381</v>
      </c>
      <c r="O274" s="92" t="s">
        <v>113005</v>
      </c>
      <c r="P274" s="130" t="s">
        <v>113044</v>
      </c>
      <c r="Q274" s="93" t="s">
        <v>113040</v>
      </c>
      <c r="R274" s="94">
        <f>71872000+55000000+15134000+1847957.4</f>
        <v>143853957.40000001</v>
      </c>
      <c r="S274" s="95"/>
      <c r="T274" s="202"/>
      <c r="U274" s="97" t="s">
        <v>112999</v>
      </c>
    </row>
    <row r="275" spans="1:21" ht="45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54">
        <v>76111500</v>
      </c>
      <c r="M275" s="91" t="s">
        <v>113248</v>
      </c>
      <c r="N275" s="92">
        <v>45427</v>
      </c>
      <c r="O275" s="92" t="s">
        <v>113184</v>
      </c>
      <c r="P275" s="130" t="s">
        <v>113067</v>
      </c>
      <c r="Q275" s="93" t="s">
        <v>113040</v>
      </c>
      <c r="R275" s="94">
        <f>280000000+7032000</f>
        <v>287032000</v>
      </c>
      <c r="S275" s="95" t="s">
        <v>105533</v>
      </c>
      <c r="T275" s="314">
        <v>912780000</v>
      </c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76111500</v>
      </c>
      <c r="M276" s="91" t="s">
        <v>113249</v>
      </c>
      <c r="N276" s="92">
        <v>45427</v>
      </c>
      <c r="O276" s="92" t="s">
        <v>113184</v>
      </c>
      <c r="P276" s="130" t="s">
        <v>113067</v>
      </c>
      <c r="Q276" s="93" t="s">
        <v>113040</v>
      </c>
      <c r="R276" s="94">
        <f>22460000+30394000</f>
        <v>52854000</v>
      </c>
      <c r="S276" s="95" t="s">
        <v>105533</v>
      </c>
      <c r="T276" s="314">
        <v>168180000</v>
      </c>
      <c r="U276" s="97" t="s">
        <v>112999</v>
      </c>
    </row>
    <row r="277" spans="1:21" ht="30" x14ac:dyDescent="0.2">
      <c r="A277" s="322"/>
      <c r="B277" s="135"/>
      <c r="C277" s="136"/>
      <c r="D277" s="136"/>
      <c r="E277" s="136"/>
      <c r="F277" s="136"/>
      <c r="G277" s="136"/>
      <c r="H277" s="136"/>
      <c r="I277" s="136"/>
      <c r="J277" s="137"/>
      <c r="K277" s="137" t="s">
        <v>112595</v>
      </c>
      <c r="L277" s="90" t="s">
        <v>113142</v>
      </c>
      <c r="M277" s="91" t="s">
        <v>113143</v>
      </c>
      <c r="N277" s="92">
        <v>45413</v>
      </c>
      <c r="O277" s="92" t="s">
        <v>113184</v>
      </c>
      <c r="P277" s="130" t="s">
        <v>113144</v>
      </c>
      <c r="Q277" s="93" t="s">
        <v>113095</v>
      </c>
      <c r="R277" s="94">
        <f>80000000-7703000-7032000-30394000</f>
        <v>34871000</v>
      </c>
      <c r="S277" s="95"/>
      <c r="T277" s="202"/>
      <c r="U277" s="97" t="s">
        <v>112999</v>
      </c>
    </row>
    <row r="278" spans="1:21" ht="45" x14ac:dyDescent="0.2">
      <c r="A278" s="322"/>
      <c r="B278" s="135"/>
      <c r="C278" s="136"/>
      <c r="D278" s="136"/>
      <c r="E278" s="136"/>
      <c r="F278" s="136"/>
      <c r="G278" s="136"/>
      <c r="H278" s="136"/>
      <c r="I278" s="136"/>
      <c r="J278" s="137"/>
      <c r="K278" s="137" t="s">
        <v>112595</v>
      </c>
      <c r="L278" s="54">
        <v>72102100</v>
      </c>
      <c r="M278" s="91" t="s">
        <v>113145</v>
      </c>
      <c r="N278" s="92">
        <v>45413</v>
      </c>
      <c r="O278" s="92" t="s">
        <v>113184</v>
      </c>
      <c r="P278" s="93" t="s">
        <v>113144</v>
      </c>
      <c r="Q278" s="93" t="s">
        <v>113095</v>
      </c>
      <c r="R278" s="94">
        <v>150000000</v>
      </c>
      <c r="S278" s="95"/>
      <c r="T278" s="202"/>
      <c r="U278" s="97" t="s">
        <v>112999</v>
      </c>
    </row>
    <row r="279" spans="1:21" ht="30" x14ac:dyDescent="0.2">
      <c r="A279" s="322"/>
      <c r="B279" s="166" t="s">
        <v>105516</v>
      </c>
      <c r="C279" s="166" t="s">
        <v>105924</v>
      </c>
      <c r="D279" s="166" t="s">
        <v>105520</v>
      </c>
      <c r="E279" s="166" t="s">
        <v>105573</v>
      </c>
      <c r="F279" s="166" t="s">
        <v>105553</v>
      </c>
      <c r="G279" s="166" t="s">
        <v>105550</v>
      </c>
      <c r="H279" s="166"/>
      <c r="I279" s="166"/>
      <c r="J279" s="166"/>
      <c r="K279" s="167"/>
      <c r="L279" s="167"/>
      <c r="M279" s="168" t="s">
        <v>107092</v>
      </c>
      <c r="N279" s="169"/>
      <c r="O279" s="169" t="s">
        <v>112994</v>
      </c>
      <c r="P279" s="170"/>
      <c r="Q279" s="170"/>
      <c r="R279" s="171">
        <f>+R280</f>
        <v>116456800</v>
      </c>
      <c r="S279" s="172"/>
      <c r="T279" s="172"/>
      <c r="U279" s="173"/>
    </row>
    <row r="280" spans="1:21" ht="30" x14ac:dyDescent="0.2">
      <c r="A280" s="322"/>
      <c r="B280" s="79" t="s">
        <v>105516</v>
      </c>
      <c r="C280" s="79" t="s">
        <v>105924</v>
      </c>
      <c r="D280" s="79" t="s">
        <v>105520</v>
      </c>
      <c r="E280" s="79" t="s">
        <v>105573</v>
      </c>
      <c r="F280" s="79" t="s">
        <v>105553</v>
      </c>
      <c r="G280" s="79" t="s">
        <v>105550</v>
      </c>
      <c r="H280" s="79" t="s">
        <v>105520</v>
      </c>
      <c r="I280" s="79"/>
      <c r="J280" s="79"/>
      <c r="K280" s="79"/>
      <c r="L280" s="79"/>
      <c r="M280" s="81" t="s">
        <v>107094</v>
      </c>
      <c r="N280" s="82"/>
      <c r="O280" s="82" t="s">
        <v>112994</v>
      </c>
      <c r="P280" s="83"/>
      <c r="Q280" s="83"/>
      <c r="R280" s="84">
        <f>+R281</f>
        <v>116456800</v>
      </c>
      <c r="S280" s="85"/>
      <c r="T280" s="85"/>
      <c r="U280" s="100"/>
    </row>
    <row r="281" spans="1:21" ht="30" x14ac:dyDescent="0.2">
      <c r="A281" s="322"/>
      <c r="B281" s="79" t="s">
        <v>105516</v>
      </c>
      <c r="C281" s="79" t="s">
        <v>105924</v>
      </c>
      <c r="D281" s="79" t="s">
        <v>105520</v>
      </c>
      <c r="E281" s="79" t="s">
        <v>105573</v>
      </c>
      <c r="F281" s="79" t="s">
        <v>105553</v>
      </c>
      <c r="G281" s="79" t="s">
        <v>105550</v>
      </c>
      <c r="H281" s="79" t="s">
        <v>105520</v>
      </c>
      <c r="I281" s="79" t="s">
        <v>106217</v>
      </c>
      <c r="J281" s="79"/>
      <c r="K281" s="79"/>
      <c r="L281" s="79"/>
      <c r="M281" s="81" t="s">
        <v>107104</v>
      </c>
      <c r="N281" s="82"/>
      <c r="O281" s="82" t="s">
        <v>112994</v>
      </c>
      <c r="P281" s="83"/>
      <c r="Q281" s="83"/>
      <c r="R281" s="84">
        <f>SUM(R282:R283)</f>
        <v>116456800</v>
      </c>
      <c r="S281" s="85"/>
      <c r="T281" s="85"/>
      <c r="U281" s="100"/>
    </row>
    <row r="282" spans="1:21" ht="45" x14ac:dyDescent="0.2">
      <c r="A282" s="322"/>
      <c r="B282" s="87"/>
      <c r="C282" s="88"/>
      <c r="D282" s="88"/>
      <c r="E282" s="88"/>
      <c r="F282" s="88"/>
      <c r="G282" s="88"/>
      <c r="H282" s="88"/>
      <c r="I282" s="88"/>
      <c r="J282" s="89"/>
      <c r="K282" s="89" t="s">
        <v>112614</v>
      </c>
      <c r="L282" s="90" t="s">
        <v>113224</v>
      </c>
      <c r="M282" s="91" t="s">
        <v>113147</v>
      </c>
      <c r="N282" s="92">
        <v>45425</v>
      </c>
      <c r="O282" s="92" t="s">
        <v>113086</v>
      </c>
      <c r="P282" s="93" t="s">
        <v>113027</v>
      </c>
      <c r="Q282" s="93" t="s">
        <v>113037</v>
      </c>
      <c r="R282" s="94">
        <v>116456800</v>
      </c>
      <c r="S282" s="95"/>
      <c r="T282" s="96"/>
      <c r="U282" s="97" t="s">
        <v>113018</v>
      </c>
    </row>
    <row r="283" spans="1:21" ht="45" x14ac:dyDescent="0.2">
      <c r="A283" s="322"/>
      <c r="B283" s="135"/>
      <c r="C283" s="136"/>
      <c r="D283" s="136"/>
      <c r="E283" s="136"/>
      <c r="F283" s="136"/>
      <c r="G283" s="136"/>
      <c r="H283" s="136"/>
      <c r="I283" s="136"/>
      <c r="J283" s="136"/>
      <c r="K283" s="136" t="s">
        <v>112614</v>
      </c>
      <c r="L283" s="203">
        <v>73152100</v>
      </c>
      <c r="M283" s="119" t="s">
        <v>113146</v>
      </c>
      <c r="N283" s="120">
        <v>45444</v>
      </c>
      <c r="O283" s="92" t="s">
        <v>113009</v>
      </c>
      <c r="P283" s="93" t="s">
        <v>113006</v>
      </c>
      <c r="Q283" s="130" t="s">
        <v>112998</v>
      </c>
      <c r="R283" s="94">
        <f>55000000-55000000</f>
        <v>0</v>
      </c>
      <c r="S283" s="95"/>
      <c r="T283" s="96"/>
      <c r="U283" s="97" t="s">
        <v>112999</v>
      </c>
    </row>
    <row r="284" spans="1:21" ht="45" x14ac:dyDescent="0.2">
      <c r="A284" s="322"/>
      <c r="B284" s="62" t="s">
        <v>105516</v>
      </c>
      <c r="C284" s="62" t="s">
        <v>105924</v>
      </c>
      <c r="D284" s="62" t="s">
        <v>105520</v>
      </c>
      <c r="E284" s="62" t="s">
        <v>105573</v>
      </c>
      <c r="F284" s="62" t="s">
        <v>105556</v>
      </c>
      <c r="G284" s="62"/>
      <c r="H284" s="62"/>
      <c r="I284" s="62"/>
      <c r="J284" s="62"/>
      <c r="K284" s="63"/>
      <c r="L284" s="64"/>
      <c r="M284" s="65" t="s">
        <v>107192</v>
      </c>
      <c r="N284" s="66"/>
      <c r="O284" s="66"/>
      <c r="P284" s="67"/>
      <c r="Q284" s="67"/>
      <c r="R284" s="68">
        <f>+R285</f>
        <v>4866000</v>
      </c>
      <c r="S284" s="69"/>
      <c r="T284" s="69"/>
      <c r="U284" s="70"/>
    </row>
    <row r="285" spans="1:21" ht="28.5" customHeight="1" x14ac:dyDescent="0.2">
      <c r="A285" s="322"/>
      <c r="B285" s="166" t="s">
        <v>105516</v>
      </c>
      <c r="C285" s="166" t="s">
        <v>105924</v>
      </c>
      <c r="D285" s="166" t="s">
        <v>105520</v>
      </c>
      <c r="E285" s="166" t="s">
        <v>105573</v>
      </c>
      <c r="F285" s="187" t="s">
        <v>105556</v>
      </c>
      <c r="G285" s="187" t="s">
        <v>105541</v>
      </c>
      <c r="H285" s="166"/>
      <c r="I285" s="166"/>
      <c r="J285" s="166"/>
      <c r="K285" s="167"/>
      <c r="L285" s="167"/>
      <c r="M285" s="168" t="s">
        <v>107192</v>
      </c>
      <c r="N285" s="169"/>
      <c r="O285" s="169"/>
      <c r="P285" s="170"/>
      <c r="Q285" s="170"/>
      <c r="R285" s="171">
        <f>+R286</f>
        <v>4866000</v>
      </c>
      <c r="S285" s="172"/>
      <c r="T285" s="172"/>
      <c r="U285" s="173"/>
    </row>
    <row r="286" spans="1:21" ht="28.5" customHeight="1" x14ac:dyDescent="0.2">
      <c r="A286" s="322"/>
      <c r="B286" s="79" t="s">
        <v>105516</v>
      </c>
      <c r="C286" s="79" t="s">
        <v>105924</v>
      </c>
      <c r="D286" s="79" t="s">
        <v>105520</v>
      </c>
      <c r="E286" s="79" t="s">
        <v>105573</v>
      </c>
      <c r="F286" s="80" t="s">
        <v>105556</v>
      </c>
      <c r="G286" s="80" t="s">
        <v>105541</v>
      </c>
      <c r="H286" s="80" t="s">
        <v>106109</v>
      </c>
      <c r="I286" s="79"/>
      <c r="J286" s="79"/>
      <c r="K286" s="79"/>
      <c r="L286" s="79"/>
      <c r="M286" s="81" t="s">
        <v>107204</v>
      </c>
      <c r="N286" s="82"/>
      <c r="O286" s="82"/>
      <c r="P286" s="83"/>
      <c r="Q286" s="83"/>
      <c r="R286" s="84">
        <f>+R287</f>
        <v>4866000</v>
      </c>
      <c r="S286" s="85"/>
      <c r="T286" s="85"/>
      <c r="U286" s="100"/>
    </row>
    <row r="287" spans="1:21" ht="45" x14ac:dyDescent="0.2">
      <c r="A287" s="322"/>
      <c r="B287" s="87"/>
      <c r="C287" s="88"/>
      <c r="D287" s="88"/>
      <c r="E287" s="88"/>
      <c r="F287" s="88"/>
      <c r="G287" s="88"/>
      <c r="H287" s="88"/>
      <c r="I287" s="88"/>
      <c r="J287" s="89"/>
      <c r="K287" s="89"/>
      <c r="L287" s="90" t="s">
        <v>113250</v>
      </c>
      <c r="M287" s="91" t="s">
        <v>113251</v>
      </c>
      <c r="N287" s="92">
        <v>45444</v>
      </c>
      <c r="O287" s="92" t="s">
        <v>113009</v>
      </c>
      <c r="P287" s="93" t="s">
        <v>113006</v>
      </c>
      <c r="Q287" s="93" t="s">
        <v>113051</v>
      </c>
      <c r="R287" s="94">
        <f>20000000-15134000</f>
        <v>4866000</v>
      </c>
      <c r="S287" s="95"/>
      <c r="T287" s="96"/>
      <c r="U287" s="97" t="s">
        <v>112999</v>
      </c>
    </row>
    <row r="288" spans="1:21" ht="15.75" x14ac:dyDescent="0.2">
      <c r="A288" s="322"/>
      <c r="B288" s="204" t="s">
        <v>105516</v>
      </c>
      <c r="C288" s="204" t="s">
        <v>106103</v>
      </c>
      <c r="D288" s="204"/>
      <c r="E288" s="204"/>
      <c r="F288" s="204"/>
      <c r="G288" s="204"/>
      <c r="H288" s="204"/>
      <c r="I288" s="204"/>
      <c r="J288" s="204"/>
      <c r="K288" s="205"/>
      <c r="L288" s="206"/>
      <c r="M288" s="207" t="s">
        <v>112750</v>
      </c>
      <c r="N288" s="208"/>
      <c r="O288" s="208" t="s">
        <v>112994</v>
      </c>
      <c r="P288" s="209"/>
      <c r="Q288" s="209"/>
      <c r="R288" s="210">
        <f>SUM(R289+R291)</f>
        <v>5718000000</v>
      </c>
      <c r="S288" s="211"/>
      <c r="T288" s="211"/>
      <c r="U288" s="212"/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105520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112752</v>
      </c>
      <c r="N289" s="216"/>
      <c r="O289" s="216" t="s">
        <v>112994</v>
      </c>
      <c r="P289" s="217"/>
      <c r="Q289" s="217"/>
      <c r="R289" s="218">
        <f>+R290</f>
        <v>118000000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112751</v>
      </c>
      <c r="L290" s="224"/>
      <c r="M290" s="101" t="s">
        <v>112752</v>
      </c>
      <c r="N290" s="93"/>
      <c r="O290" s="93"/>
      <c r="P290" s="93"/>
      <c r="Q290" s="93"/>
      <c r="R290" s="94">
        <v>118000000</v>
      </c>
      <c r="S290" s="95"/>
      <c r="T290" s="197"/>
      <c r="U290" s="198" t="s">
        <v>113011</v>
      </c>
    </row>
    <row r="291" spans="1:21" ht="15.75" x14ac:dyDescent="0.2">
      <c r="A291" s="322"/>
      <c r="B291" s="213" t="s">
        <v>105516</v>
      </c>
      <c r="C291" s="213" t="s">
        <v>106103</v>
      </c>
      <c r="D291" s="213" t="s">
        <v>105675</v>
      </c>
      <c r="E291" s="213"/>
      <c r="F291" s="213"/>
      <c r="G291" s="213"/>
      <c r="H291" s="213"/>
      <c r="I291" s="213"/>
      <c r="J291" s="213"/>
      <c r="K291" s="214"/>
      <c r="L291" s="214"/>
      <c r="M291" s="215" t="s">
        <v>112762</v>
      </c>
      <c r="N291" s="216"/>
      <c r="O291" s="216" t="s">
        <v>112994</v>
      </c>
      <c r="P291" s="217"/>
      <c r="Q291" s="217"/>
      <c r="R291" s="218">
        <f>+R292</f>
        <v>5600000000</v>
      </c>
      <c r="S291" s="219"/>
      <c r="T291" s="219"/>
      <c r="U291" s="220"/>
    </row>
    <row r="292" spans="1:21" ht="15.75" x14ac:dyDescent="0.2">
      <c r="A292" s="322"/>
      <c r="B292" s="221"/>
      <c r="C292" s="222"/>
      <c r="D292" s="222"/>
      <c r="E292" s="222"/>
      <c r="F292" s="222"/>
      <c r="G292" s="222"/>
      <c r="H292" s="222"/>
      <c r="I292" s="222"/>
      <c r="J292" s="223"/>
      <c r="K292" s="89" t="s">
        <v>112761</v>
      </c>
      <c r="L292" s="224"/>
      <c r="M292" s="101" t="s">
        <v>113148</v>
      </c>
      <c r="N292" s="93"/>
      <c r="O292" s="93" t="s">
        <v>113030</v>
      </c>
      <c r="P292" s="93"/>
      <c r="Q292" s="93"/>
      <c r="R292" s="94">
        <v>5600000000</v>
      </c>
      <c r="S292" s="95"/>
      <c r="T292" s="197"/>
      <c r="U292" s="198" t="s">
        <v>113063</v>
      </c>
    </row>
    <row r="293" spans="1:21" ht="15.75" x14ac:dyDescent="0.2">
      <c r="A293" s="322"/>
      <c r="B293" s="225" t="s">
        <v>105516</v>
      </c>
      <c r="C293" s="225" t="s">
        <v>106106</v>
      </c>
      <c r="D293" s="225"/>
      <c r="E293" s="225"/>
      <c r="F293" s="225"/>
      <c r="G293" s="225"/>
      <c r="H293" s="225"/>
      <c r="I293" s="225"/>
      <c r="J293" s="225"/>
      <c r="K293" s="226"/>
      <c r="L293" s="227"/>
      <c r="M293" s="228" t="s">
        <v>112766</v>
      </c>
      <c r="N293" s="229"/>
      <c r="O293" s="229" t="s">
        <v>112994</v>
      </c>
      <c r="P293" s="230"/>
      <c r="Q293" s="230"/>
      <c r="R293" s="231">
        <f>SUM(R294+R302+R305)</f>
        <v>4192000000</v>
      </c>
      <c r="S293" s="232"/>
      <c r="T293" s="232"/>
      <c r="U293" s="233"/>
    </row>
    <row r="294" spans="1:21" ht="15.75" x14ac:dyDescent="0.2">
      <c r="A294" s="322"/>
      <c r="B294" s="234" t="s">
        <v>105516</v>
      </c>
      <c r="C294" s="234" t="s">
        <v>106106</v>
      </c>
      <c r="D294" s="234" t="s">
        <v>105520</v>
      </c>
      <c r="E294" s="234"/>
      <c r="F294" s="234"/>
      <c r="G294" s="234"/>
      <c r="H294" s="234"/>
      <c r="I294" s="234"/>
      <c r="J294" s="234"/>
      <c r="K294" s="235"/>
      <c r="L294" s="235"/>
      <c r="M294" s="236" t="s">
        <v>112768</v>
      </c>
      <c r="N294" s="237"/>
      <c r="O294" s="237" t="s">
        <v>112994</v>
      </c>
      <c r="P294" s="238"/>
      <c r="Q294" s="238"/>
      <c r="R294" s="239">
        <f>+R295</f>
        <v>3757000000</v>
      </c>
      <c r="S294" s="240"/>
      <c r="T294" s="240"/>
      <c r="U294" s="241"/>
    </row>
    <row r="295" spans="1:21" x14ac:dyDescent="0.2">
      <c r="A295" s="322"/>
      <c r="B295" s="242" t="s">
        <v>105516</v>
      </c>
      <c r="C295" s="242" t="s">
        <v>106106</v>
      </c>
      <c r="D295" s="242" t="s">
        <v>105520</v>
      </c>
      <c r="E295" s="242" t="s">
        <v>105573</v>
      </c>
      <c r="F295" s="242"/>
      <c r="G295" s="242"/>
      <c r="H295" s="242"/>
      <c r="I295" s="242"/>
      <c r="J295" s="242"/>
      <c r="K295" s="243"/>
      <c r="L295" s="243"/>
      <c r="M295" s="244" t="s">
        <v>112780</v>
      </c>
      <c r="N295" s="245"/>
      <c r="O295" s="245" t="s">
        <v>112994</v>
      </c>
      <c r="P295" s="246"/>
      <c r="Q295" s="246"/>
      <c r="R295" s="247">
        <f>+R296+R298+R300</f>
        <v>3757000000</v>
      </c>
      <c r="S295" s="248"/>
      <c r="T295" s="248"/>
      <c r="U295" s="249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105528</v>
      </c>
      <c r="G296" s="250"/>
      <c r="H296" s="250"/>
      <c r="I296" s="250"/>
      <c r="J296" s="250"/>
      <c r="K296" s="64"/>
      <c r="L296" s="64"/>
      <c r="M296" s="65" t="s">
        <v>113149</v>
      </c>
      <c r="N296" s="66"/>
      <c r="O296" s="66" t="s">
        <v>112994</v>
      </c>
      <c r="P296" s="67"/>
      <c r="Q296" s="67"/>
      <c r="R296" s="68">
        <f>+R297</f>
        <v>3663000000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112781</v>
      </c>
      <c r="L297" s="251"/>
      <c r="M297" s="101" t="str">
        <f>+M296</f>
        <v>IMPUESTO PREDIAL</v>
      </c>
      <c r="N297" s="93"/>
      <c r="O297" s="93"/>
      <c r="P297" s="93"/>
      <c r="Q297" s="93"/>
      <c r="R297" s="201">
        <v>3663000000</v>
      </c>
      <c r="S297" s="95"/>
      <c r="T297" s="252"/>
      <c r="U297" s="198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105538</v>
      </c>
      <c r="G298" s="250"/>
      <c r="H298" s="250"/>
      <c r="I298" s="250"/>
      <c r="J298" s="250"/>
      <c r="K298" s="64"/>
      <c r="L298" s="64"/>
      <c r="M298" s="65" t="s">
        <v>112786</v>
      </c>
      <c r="N298" s="66"/>
      <c r="O298" s="66" t="s">
        <v>112994</v>
      </c>
      <c r="P298" s="67"/>
      <c r="Q298" s="67"/>
      <c r="R298" s="68">
        <f>+R299</f>
        <v>90000000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112785</v>
      </c>
      <c r="L299" s="126"/>
      <c r="M299" s="91" t="str">
        <f>+M298</f>
        <v>IMPUESTO DE INDUSTRIA Y COMERCIO</v>
      </c>
      <c r="N299" s="93"/>
      <c r="O299" s="93"/>
      <c r="P299" s="93"/>
      <c r="Q299" s="93"/>
      <c r="R299" s="94">
        <v>90000000</v>
      </c>
      <c r="S299" s="95"/>
      <c r="T299" s="96"/>
      <c r="U299" s="97"/>
    </row>
    <row r="300" spans="1:21" x14ac:dyDescent="0.2">
      <c r="A300" s="322"/>
      <c r="B300" s="250" t="s">
        <v>105516</v>
      </c>
      <c r="C300" s="250" t="s">
        <v>106106</v>
      </c>
      <c r="D300" s="250" t="s">
        <v>105520</v>
      </c>
      <c r="E300" s="250" t="s">
        <v>105573</v>
      </c>
      <c r="F300" s="250" t="s">
        <v>105547</v>
      </c>
      <c r="G300" s="250"/>
      <c r="H300" s="250"/>
      <c r="I300" s="250"/>
      <c r="J300" s="250"/>
      <c r="K300" s="64"/>
      <c r="L300" s="64"/>
      <c r="M300" s="65" t="s">
        <v>112792</v>
      </c>
      <c r="N300" s="66"/>
      <c r="O300" s="66" t="s">
        <v>112994</v>
      </c>
      <c r="P300" s="67"/>
      <c r="Q300" s="67"/>
      <c r="R300" s="68">
        <f>+R301</f>
        <v>4000000</v>
      </c>
      <c r="S300" s="69"/>
      <c r="T300" s="69"/>
      <c r="U300" s="70"/>
    </row>
    <row r="301" spans="1:21" x14ac:dyDescent="0.2">
      <c r="A301" s="322"/>
      <c r="B301" s="87"/>
      <c r="C301" s="88"/>
      <c r="D301" s="88"/>
      <c r="E301" s="88"/>
      <c r="F301" s="88"/>
      <c r="G301" s="88"/>
      <c r="H301" s="88"/>
      <c r="I301" s="88"/>
      <c r="J301" s="89"/>
      <c r="K301" s="89" t="s">
        <v>112791</v>
      </c>
      <c r="L301" s="126"/>
      <c r="M301" s="91" t="str">
        <f>+M300</f>
        <v>IMPUESTO SOBRE VEHÍCULOS AUTOMOTORES</v>
      </c>
      <c r="N301" s="93"/>
      <c r="O301" s="93"/>
      <c r="P301" s="93"/>
      <c r="Q301" s="93"/>
      <c r="R301" s="94">
        <v>4000000</v>
      </c>
      <c r="S301" s="95"/>
      <c r="T301" s="96"/>
      <c r="U301" s="97"/>
    </row>
    <row r="302" spans="1:21" ht="15.75" x14ac:dyDescent="0.2">
      <c r="A302" s="322"/>
      <c r="B302" s="234" t="s">
        <v>105516</v>
      </c>
      <c r="C302" s="234" t="s">
        <v>106106</v>
      </c>
      <c r="D302" s="234" t="s">
        <v>105917</v>
      </c>
      <c r="E302" s="234"/>
      <c r="F302" s="234"/>
      <c r="G302" s="234"/>
      <c r="H302" s="234"/>
      <c r="I302" s="234"/>
      <c r="J302" s="234"/>
      <c r="K302" s="235"/>
      <c r="L302" s="235"/>
      <c r="M302" s="236" t="s">
        <v>112804</v>
      </c>
      <c r="N302" s="237"/>
      <c r="O302" s="237" t="s">
        <v>112994</v>
      </c>
      <c r="P302" s="238"/>
      <c r="Q302" s="238"/>
      <c r="R302" s="239">
        <f>+R303+R304</f>
        <v>382000000</v>
      </c>
      <c r="S302" s="240"/>
      <c r="T302" s="240"/>
      <c r="U302" s="241"/>
    </row>
    <row r="303" spans="1:21" x14ac:dyDescent="0.2">
      <c r="A303" s="322"/>
      <c r="B303" s="242" t="s">
        <v>105516</v>
      </c>
      <c r="C303" s="242" t="s">
        <v>106106</v>
      </c>
      <c r="D303" s="242" t="s">
        <v>105917</v>
      </c>
      <c r="E303" s="242" t="s">
        <v>105520</v>
      </c>
      <c r="F303" s="242"/>
      <c r="G303" s="242"/>
      <c r="H303" s="242"/>
      <c r="I303" s="242"/>
      <c r="J303" s="242"/>
      <c r="K303" s="253" t="s">
        <v>112805</v>
      </c>
      <c r="L303" s="243"/>
      <c r="M303" s="244" t="s">
        <v>112806</v>
      </c>
      <c r="N303" s="245" t="s">
        <v>112994</v>
      </c>
      <c r="O303" s="245" t="s">
        <v>113030</v>
      </c>
      <c r="P303" s="246"/>
      <c r="Q303" s="246"/>
      <c r="R303" s="254">
        <v>136000000</v>
      </c>
      <c r="S303" s="242"/>
      <c r="T303" s="255"/>
      <c r="U303" s="249"/>
    </row>
    <row r="304" spans="1:21" x14ac:dyDescent="0.2">
      <c r="A304" s="322"/>
      <c r="B304" s="242" t="s">
        <v>105516</v>
      </c>
      <c r="C304" s="242" t="s">
        <v>106106</v>
      </c>
      <c r="D304" s="242" t="s">
        <v>105917</v>
      </c>
      <c r="E304" s="242" t="s">
        <v>105917</v>
      </c>
      <c r="F304" s="242"/>
      <c r="G304" s="242"/>
      <c r="H304" s="242"/>
      <c r="I304" s="242"/>
      <c r="J304" s="242"/>
      <c r="K304" s="253" t="s">
        <v>112811</v>
      </c>
      <c r="L304" s="243"/>
      <c r="M304" s="244" t="s">
        <v>113151</v>
      </c>
      <c r="N304" s="245"/>
      <c r="O304" s="245"/>
      <c r="P304" s="246"/>
      <c r="Q304" s="246"/>
      <c r="R304" s="254">
        <v>246000000</v>
      </c>
      <c r="S304" s="242"/>
      <c r="T304" s="255"/>
      <c r="U304" s="249"/>
    </row>
    <row r="305" spans="1:21" ht="15.75" x14ac:dyDescent="0.2">
      <c r="A305" s="322"/>
      <c r="B305" s="234" t="s">
        <v>105516</v>
      </c>
      <c r="C305" s="234" t="s">
        <v>106106</v>
      </c>
      <c r="D305" s="256" t="s">
        <v>105924</v>
      </c>
      <c r="E305" s="234"/>
      <c r="F305" s="234"/>
      <c r="G305" s="234"/>
      <c r="H305" s="234"/>
      <c r="I305" s="234"/>
      <c r="J305" s="234"/>
      <c r="K305" s="234"/>
      <c r="L305" s="235"/>
      <c r="M305" s="236" t="s">
        <v>112822</v>
      </c>
      <c r="N305" s="237"/>
      <c r="O305" s="237" t="s">
        <v>112994</v>
      </c>
      <c r="P305" s="238"/>
      <c r="Q305" s="238"/>
      <c r="R305" s="239">
        <f>+R306</f>
        <v>53000000</v>
      </c>
      <c r="S305" s="240"/>
      <c r="T305" s="240"/>
      <c r="U305" s="241"/>
    </row>
    <row r="306" spans="1:21" x14ac:dyDescent="0.2">
      <c r="A306" s="322"/>
      <c r="B306" s="242" t="s">
        <v>105516</v>
      </c>
      <c r="C306" s="242" t="s">
        <v>106106</v>
      </c>
      <c r="D306" s="257" t="s">
        <v>105924</v>
      </c>
      <c r="E306" s="242"/>
      <c r="F306" s="242"/>
      <c r="G306" s="242"/>
      <c r="H306" s="242"/>
      <c r="I306" s="242"/>
      <c r="J306" s="242"/>
      <c r="K306" s="243"/>
      <c r="L306" s="243"/>
      <c r="M306" s="244" t="s">
        <v>112822</v>
      </c>
      <c r="N306" s="245" t="s">
        <v>112994</v>
      </c>
      <c r="O306" s="245" t="s">
        <v>113030</v>
      </c>
      <c r="P306" s="246"/>
      <c r="Q306" s="246"/>
      <c r="R306" s="254">
        <v>53000000</v>
      </c>
      <c r="S306" s="242"/>
      <c r="T306" s="255"/>
      <c r="U306" s="249"/>
    </row>
    <row r="307" spans="1:21" ht="15.75" x14ac:dyDescent="0.2">
      <c r="A307" s="322"/>
      <c r="B307" s="258" t="s">
        <v>113152</v>
      </c>
      <c r="C307" s="258"/>
      <c r="D307" s="258"/>
      <c r="E307" s="258"/>
      <c r="F307" s="258"/>
      <c r="G307" s="258"/>
      <c r="H307" s="258"/>
      <c r="I307" s="258"/>
      <c r="J307" s="258"/>
      <c r="K307" s="259"/>
      <c r="L307" s="259"/>
      <c r="M307" s="260" t="s">
        <v>113153</v>
      </c>
      <c r="N307" s="261"/>
      <c r="O307" s="261" t="s">
        <v>112994</v>
      </c>
      <c r="P307" s="262"/>
      <c r="Q307" s="262"/>
      <c r="R307" s="263">
        <f>+R308</f>
        <v>38560000000</v>
      </c>
      <c r="S307" s="264">
        <v>38560000000</v>
      </c>
      <c r="T307" s="264">
        <f>+R307-S307</f>
        <v>0</v>
      </c>
      <c r="U307" s="265"/>
    </row>
    <row r="308" spans="1:21" ht="15.75" x14ac:dyDescent="0.2">
      <c r="A308" s="322"/>
      <c r="B308" s="266" t="s">
        <v>113152</v>
      </c>
      <c r="C308" s="266"/>
      <c r="D308" s="266" t="s">
        <v>113154</v>
      </c>
      <c r="E308" s="266"/>
      <c r="F308" s="266"/>
      <c r="G308" s="266"/>
      <c r="H308" s="266"/>
      <c r="I308" s="266"/>
      <c r="J308" s="266"/>
      <c r="K308" s="267"/>
      <c r="L308" s="267"/>
      <c r="M308" s="268" t="s">
        <v>113155</v>
      </c>
      <c r="N308" s="269"/>
      <c r="O308" s="269" t="s">
        <v>112994</v>
      </c>
      <c r="P308" s="270"/>
      <c r="Q308" s="270"/>
      <c r="R308" s="271">
        <f>+R309</f>
        <v>38560000000</v>
      </c>
      <c r="S308" s="272"/>
      <c r="T308" s="272"/>
      <c r="U308" s="273"/>
    </row>
    <row r="309" spans="1:21" ht="15.75" x14ac:dyDescent="0.2">
      <c r="A309" s="322"/>
      <c r="B309" s="274" t="s">
        <v>113152</v>
      </c>
      <c r="C309" s="274"/>
      <c r="D309" s="274" t="s">
        <v>113154</v>
      </c>
      <c r="E309" s="274"/>
      <c r="F309" s="274" t="s">
        <v>113156</v>
      </c>
      <c r="G309" s="274"/>
      <c r="H309" s="274"/>
      <c r="I309" s="274"/>
      <c r="J309" s="274"/>
      <c r="K309" s="275"/>
      <c r="L309" s="275"/>
      <c r="M309" s="276" t="s">
        <v>113157</v>
      </c>
      <c r="N309" s="277"/>
      <c r="O309" s="277" t="s">
        <v>112994</v>
      </c>
      <c r="P309" s="278"/>
      <c r="Q309" s="278"/>
      <c r="R309" s="279">
        <f>+R310+R326</f>
        <v>38560000000</v>
      </c>
      <c r="S309" s="280"/>
      <c r="T309" s="280"/>
      <c r="U309" s="281"/>
    </row>
    <row r="310" spans="1:21" ht="15.75" x14ac:dyDescent="0.2">
      <c r="A310" s="322"/>
      <c r="B310" s="250" t="s">
        <v>113152</v>
      </c>
      <c r="C310" s="250"/>
      <c r="D310" s="250" t="s">
        <v>113154</v>
      </c>
      <c r="E310" s="250"/>
      <c r="F310" s="250" t="s">
        <v>113156</v>
      </c>
      <c r="G310" s="250"/>
      <c r="H310" s="250">
        <v>4</v>
      </c>
      <c r="I310" s="250"/>
      <c r="J310" s="250"/>
      <c r="K310" s="64"/>
      <c r="L310" s="64"/>
      <c r="M310" s="65" t="s">
        <v>113158</v>
      </c>
      <c r="N310" s="66"/>
      <c r="O310" s="66" t="s">
        <v>112994</v>
      </c>
      <c r="P310" s="67"/>
      <c r="Q310" s="67"/>
      <c r="R310" s="282">
        <f>+R311</f>
        <v>17765000000</v>
      </c>
      <c r="S310" s="283">
        <v>17765000000</v>
      </c>
      <c r="T310" s="283">
        <f>+R310-S310</f>
        <v>0</v>
      </c>
      <c r="U310" s="284"/>
    </row>
    <row r="311" spans="1:21" ht="15.75" x14ac:dyDescent="0.2">
      <c r="A311" s="322"/>
      <c r="B311" s="285" t="s">
        <v>105516</v>
      </c>
      <c r="C311" s="285"/>
      <c r="D311" s="285"/>
      <c r="E311" s="285"/>
      <c r="F311" s="285"/>
      <c r="G311" s="285"/>
      <c r="H311" s="285"/>
      <c r="I311" s="285"/>
      <c r="J311" s="285"/>
      <c r="K311" s="34"/>
      <c r="L311" s="34"/>
      <c r="M311" s="35" t="s">
        <v>112993</v>
      </c>
      <c r="N311" s="286"/>
      <c r="O311" s="286" t="s">
        <v>112994</v>
      </c>
      <c r="P311" s="287"/>
      <c r="Q311" s="287"/>
      <c r="R311" s="38">
        <f>SUM(R312:R325)</f>
        <v>17765000000</v>
      </c>
      <c r="S311" s="39"/>
      <c r="T311" s="39"/>
      <c r="U311" s="288"/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113162</v>
      </c>
      <c r="L312" s="90" t="s">
        <v>113159</v>
      </c>
      <c r="M312" s="91" t="s">
        <v>113160</v>
      </c>
      <c r="N312" s="92">
        <v>45292</v>
      </c>
      <c r="O312" s="92" t="s">
        <v>113180</v>
      </c>
      <c r="P312" s="130" t="s">
        <v>113067</v>
      </c>
      <c r="Q312" s="93" t="s">
        <v>113302</v>
      </c>
      <c r="R312" s="117">
        <f>4138111605+1854760690</f>
        <v>5992872295</v>
      </c>
      <c r="S312" s="289"/>
      <c r="T312" s="290"/>
      <c r="U312" s="291" t="s">
        <v>113161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113162</v>
      </c>
      <c r="L313" s="90">
        <v>81101500</v>
      </c>
      <c r="M313" s="91" t="s">
        <v>113163</v>
      </c>
      <c r="N313" s="92">
        <v>45292</v>
      </c>
      <c r="O313" s="92" t="s">
        <v>113180</v>
      </c>
      <c r="P313" s="130" t="s">
        <v>113067</v>
      </c>
      <c r="Q313" s="93" t="s">
        <v>113303</v>
      </c>
      <c r="R313" s="117">
        <f>550573393+208535397</f>
        <v>759108790</v>
      </c>
      <c r="S313" s="289"/>
      <c r="T313" s="290"/>
      <c r="U313" s="291" t="s">
        <v>113161</v>
      </c>
    </row>
    <row r="314" spans="1:21" ht="45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113162</v>
      </c>
      <c r="L314" s="90" t="s">
        <v>113159</v>
      </c>
      <c r="M314" s="91" t="s">
        <v>113215</v>
      </c>
      <c r="N314" s="92">
        <v>45444</v>
      </c>
      <c r="O314" s="92" t="s">
        <v>113017</v>
      </c>
      <c r="P314" s="93" t="s">
        <v>113164</v>
      </c>
      <c r="Q314" s="93" t="s">
        <v>113302</v>
      </c>
      <c r="R314" s="117">
        <f>4564220183-1854760690-208535397-2481348913-19575183</f>
        <v>0</v>
      </c>
      <c r="S314" s="289"/>
      <c r="T314" s="290"/>
      <c r="U314" s="291" t="s">
        <v>113161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113162</v>
      </c>
      <c r="L315" s="90">
        <v>81101500</v>
      </c>
      <c r="M315" s="91" t="s">
        <v>113216</v>
      </c>
      <c r="N315" s="92">
        <v>45444</v>
      </c>
      <c r="O315" s="92" t="s">
        <v>113017</v>
      </c>
      <c r="P315" s="93" t="s">
        <v>113164</v>
      </c>
      <c r="Q315" s="93" t="s">
        <v>113303</v>
      </c>
      <c r="R315" s="117">
        <f>410779817-410779817</f>
        <v>0</v>
      </c>
      <c r="S315" s="289"/>
      <c r="T315" s="290"/>
      <c r="U315" s="291" t="s">
        <v>113161</v>
      </c>
    </row>
    <row r="316" spans="1:21" ht="30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113162</v>
      </c>
      <c r="L316" s="90">
        <v>90121600</v>
      </c>
      <c r="M316" s="91" t="s">
        <v>113166</v>
      </c>
      <c r="N316" s="92">
        <v>45311</v>
      </c>
      <c r="O316" s="92" t="s">
        <v>113059</v>
      </c>
      <c r="P316" s="93" t="s">
        <v>113010</v>
      </c>
      <c r="Q316" s="93" t="s">
        <v>113293</v>
      </c>
      <c r="R316" s="117">
        <v>50000000</v>
      </c>
      <c r="S316" s="140"/>
      <c r="T316" s="140"/>
      <c r="U316" s="291" t="s">
        <v>113161</v>
      </c>
    </row>
    <row r="317" spans="1:21" ht="30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113162</v>
      </c>
      <c r="L317" s="90">
        <v>90111500</v>
      </c>
      <c r="M317" s="91" t="s">
        <v>113214</v>
      </c>
      <c r="N317" s="92">
        <v>45311</v>
      </c>
      <c r="O317" s="92" t="s">
        <v>113180</v>
      </c>
      <c r="P317" s="93" t="s">
        <v>113178</v>
      </c>
      <c r="Q317" s="93" t="s">
        <v>113030</v>
      </c>
      <c r="R317" s="117">
        <v>70000000</v>
      </c>
      <c r="S317" s="140"/>
      <c r="T317" s="140"/>
      <c r="U317" s="291" t="s">
        <v>113161</v>
      </c>
    </row>
    <row r="318" spans="1:21" ht="36.75" customHeight="1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113162</v>
      </c>
      <c r="L318" s="90" t="s">
        <v>113217</v>
      </c>
      <c r="M318" s="91" t="s">
        <v>113165</v>
      </c>
      <c r="N318" s="92">
        <v>45305</v>
      </c>
      <c r="O318" s="92" t="s">
        <v>113180</v>
      </c>
      <c r="P318" s="93" t="s">
        <v>113178</v>
      </c>
      <c r="Q318" s="93" t="s">
        <v>113094</v>
      </c>
      <c r="R318" s="117">
        <v>500000000</v>
      </c>
      <c r="S318" s="140"/>
      <c r="T318" s="140"/>
      <c r="U318" s="291" t="s">
        <v>113161</v>
      </c>
    </row>
    <row r="319" spans="1:21" ht="44.25" customHeight="1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113162</v>
      </c>
      <c r="L319" s="90" t="s">
        <v>113217</v>
      </c>
      <c r="M319" s="91" t="s">
        <v>113165</v>
      </c>
      <c r="N319" s="92">
        <v>45305</v>
      </c>
      <c r="O319" s="92" t="s">
        <v>113180</v>
      </c>
      <c r="P319" s="93" t="s">
        <v>113178</v>
      </c>
      <c r="Q319" s="93" t="s">
        <v>113303</v>
      </c>
      <c r="R319" s="117">
        <v>481315002</v>
      </c>
      <c r="S319" s="140"/>
      <c r="T319" s="140"/>
      <c r="U319" s="291" t="s">
        <v>113161</v>
      </c>
    </row>
    <row r="320" spans="1:21" ht="44.25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/>
      <c r="L320" s="90" t="s">
        <v>113159</v>
      </c>
      <c r="M320" s="91" t="s">
        <v>113306</v>
      </c>
      <c r="N320" s="92">
        <v>45455</v>
      </c>
      <c r="O320" s="92" t="s">
        <v>113184</v>
      </c>
      <c r="P320" s="93" t="s">
        <v>113308</v>
      </c>
      <c r="Q320" s="93" t="s">
        <v>113302</v>
      </c>
      <c r="R320" s="117">
        <v>2481348913</v>
      </c>
      <c r="S320" s="289" t="s">
        <v>105533</v>
      </c>
      <c r="T320" s="314">
        <v>8000000000</v>
      </c>
      <c r="U320" s="291" t="s">
        <v>113161</v>
      </c>
    </row>
    <row r="321" spans="1:21" ht="44.25" customHeight="1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/>
      <c r="L321" s="90">
        <v>81101500</v>
      </c>
      <c r="M321" s="91" t="s">
        <v>113307</v>
      </c>
      <c r="N321" s="92">
        <v>45455</v>
      </c>
      <c r="O321" s="92" t="s">
        <v>113184</v>
      </c>
      <c r="P321" s="93" t="s">
        <v>113067</v>
      </c>
      <c r="Q321" s="93" t="s">
        <v>113302</v>
      </c>
      <c r="R321" s="117">
        <f>19575183+410779817</f>
        <v>430355000</v>
      </c>
      <c r="S321" s="289" t="s">
        <v>105533</v>
      </c>
      <c r="T321" s="314">
        <v>1300000000</v>
      </c>
      <c r="U321" s="291" t="s">
        <v>113161</v>
      </c>
    </row>
    <row r="322" spans="1:21" ht="39" customHeight="1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 t="s">
        <v>113162</v>
      </c>
      <c r="L322" s="90" t="s">
        <v>113159</v>
      </c>
      <c r="M322" s="91" t="s">
        <v>113218</v>
      </c>
      <c r="N322" s="92">
        <v>45336</v>
      </c>
      <c r="O322" s="92" t="s">
        <v>113180</v>
      </c>
      <c r="P322" s="93" t="s">
        <v>113219</v>
      </c>
      <c r="Q322" s="93" t="s">
        <v>113302</v>
      </c>
      <c r="R322" s="117">
        <v>4133000000</v>
      </c>
      <c r="S322" s="140"/>
      <c r="T322" s="140"/>
      <c r="U322" s="291" t="s">
        <v>113161</v>
      </c>
    </row>
    <row r="323" spans="1:21" ht="30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 t="s">
        <v>113162</v>
      </c>
      <c r="L323" s="90">
        <v>81101500</v>
      </c>
      <c r="M323" s="91" t="s">
        <v>113220</v>
      </c>
      <c r="N323" s="92">
        <v>45336</v>
      </c>
      <c r="O323" s="92" t="s">
        <v>113180</v>
      </c>
      <c r="P323" s="93" t="s">
        <v>113219</v>
      </c>
      <c r="Q323" s="93" t="s">
        <v>113303</v>
      </c>
      <c r="R323" s="117">
        <v>405000000</v>
      </c>
      <c r="S323" s="140"/>
      <c r="T323" s="140"/>
      <c r="U323" s="291" t="s">
        <v>113161</v>
      </c>
    </row>
    <row r="324" spans="1:21" ht="45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113162</v>
      </c>
      <c r="L324" s="90" t="s">
        <v>113159</v>
      </c>
      <c r="M324" s="91" t="s">
        <v>113221</v>
      </c>
      <c r="N324" s="92">
        <v>45336</v>
      </c>
      <c r="O324" s="92" t="s">
        <v>113180</v>
      </c>
      <c r="P324" s="93" t="s">
        <v>113219</v>
      </c>
      <c r="Q324" s="93" t="s">
        <v>113302</v>
      </c>
      <c r="R324" s="117">
        <v>2107000000</v>
      </c>
      <c r="S324" s="140"/>
      <c r="T324" s="140"/>
      <c r="U324" s="291" t="s">
        <v>113161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113162</v>
      </c>
      <c r="L325" s="90">
        <v>81101500</v>
      </c>
      <c r="M325" s="91" t="s">
        <v>113222</v>
      </c>
      <c r="N325" s="92">
        <v>45336</v>
      </c>
      <c r="O325" s="92" t="s">
        <v>113180</v>
      </c>
      <c r="P325" s="93" t="s">
        <v>113219</v>
      </c>
      <c r="Q325" s="93" t="s">
        <v>113303</v>
      </c>
      <c r="R325" s="117">
        <v>355000000</v>
      </c>
      <c r="S325" s="140"/>
      <c r="T325" s="140"/>
      <c r="U325" s="291" t="s">
        <v>113161</v>
      </c>
    </row>
    <row r="326" spans="1:21" ht="30" x14ac:dyDescent="0.2">
      <c r="A326" s="322"/>
      <c r="B326" s="250" t="s">
        <v>113152</v>
      </c>
      <c r="C326" s="250"/>
      <c r="D326" s="250" t="s">
        <v>113154</v>
      </c>
      <c r="E326" s="250"/>
      <c r="F326" s="250" t="s">
        <v>113156</v>
      </c>
      <c r="G326" s="250"/>
      <c r="H326" s="250" t="s">
        <v>106211</v>
      </c>
      <c r="I326" s="250"/>
      <c r="J326" s="250"/>
      <c r="K326" s="64"/>
      <c r="L326" s="64"/>
      <c r="M326" s="65" t="s">
        <v>113167</v>
      </c>
      <c r="N326" s="66"/>
      <c r="O326" s="66" t="s">
        <v>112994</v>
      </c>
      <c r="P326" s="67"/>
      <c r="Q326" s="67"/>
      <c r="R326" s="68">
        <f>+R327</f>
        <v>20795000000</v>
      </c>
      <c r="S326" s="69">
        <v>20795000000</v>
      </c>
      <c r="T326" s="69">
        <f>+R326-S326</f>
        <v>0</v>
      </c>
      <c r="U326" s="70"/>
    </row>
    <row r="327" spans="1:21" ht="15.75" x14ac:dyDescent="0.2">
      <c r="A327" s="322"/>
      <c r="B327" s="285" t="s">
        <v>105516</v>
      </c>
      <c r="C327" s="285"/>
      <c r="D327" s="285"/>
      <c r="E327" s="285"/>
      <c r="F327" s="285"/>
      <c r="G327" s="285"/>
      <c r="H327" s="285"/>
      <c r="I327" s="285"/>
      <c r="J327" s="285"/>
      <c r="K327" s="34"/>
      <c r="L327" s="34"/>
      <c r="M327" s="35" t="s">
        <v>112993</v>
      </c>
      <c r="N327" s="286"/>
      <c r="O327" s="286" t="s">
        <v>112994</v>
      </c>
      <c r="P327" s="287"/>
      <c r="Q327" s="287"/>
      <c r="R327" s="292">
        <f>SUM(R328:R351)</f>
        <v>20795000000</v>
      </c>
      <c r="S327" s="293"/>
      <c r="T327" s="293"/>
      <c r="U327" s="294"/>
    </row>
    <row r="328" spans="1:21" ht="27" customHeight="1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113169</v>
      </c>
      <c r="L328" s="90" t="s">
        <v>113159</v>
      </c>
      <c r="M328" s="91" t="s">
        <v>113168</v>
      </c>
      <c r="N328" s="92">
        <v>45163</v>
      </c>
      <c r="O328" s="92" t="s">
        <v>113009</v>
      </c>
      <c r="P328" s="93" t="s">
        <v>113021</v>
      </c>
      <c r="Q328" s="93" t="s">
        <v>113302</v>
      </c>
      <c r="R328" s="117">
        <f>1160000000+364924765</f>
        <v>1524924765</v>
      </c>
      <c r="S328" s="95"/>
      <c r="T328" s="138"/>
      <c r="U328" s="91" t="s">
        <v>113161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113169</v>
      </c>
      <c r="L329" s="54">
        <v>81101500</v>
      </c>
      <c r="M329" s="91" t="s">
        <v>113170</v>
      </c>
      <c r="N329" s="92">
        <v>45222</v>
      </c>
      <c r="O329" s="92" t="s">
        <v>113069</v>
      </c>
      <c r="P329" s="93" t="s">
        <v>113021</v>
      </c>
      <c r="Q329" s="93" t="s">
        <v>113303</v>
      </c>
      <c r="R329" s="117">
        <f>177400000+39348068</f>
        <v>216748068</v>
      </c>
      <c r="S329" s="95"/>
      <c r="T329" s="138"/>
      <c r="U329" s="91" t="s">
        <v>113161</v>
      </c>
    </row>
    <row r="330" spans="1:21" ht="25.5" customHeight="1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113169</v>
      </c>
      <c r="L330" s="90" t="s">
        <v>113159</v>
      </c>
      <c r="M330" s="91" t="s">
        <v>113173</v>
      </c>
      <c r="N330" s="92">
        <v>45163</v>
      </c>
      <c r="O330" s="92" t="s">
        <v>113059</v>
      </c>
      <c r="P330" s="93" t="s">
        <v>113021</v>
      </c>
      <c r="Q330" s="93" t="s">
        <v>113302</v>
      </c>
      <c r="R330" s="117">
        <f>1754000000-364924765-39348068-6166041</f>
        <v>1343561126</v>
      </c>
      <c r="S330" s="95"/>
      <c r="T330" s="138"/>
      <c r="U330" s="91" t="s">
        <v>113161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113169</v>
      </c>
      <c r="L331" s="54">
        <v>81101500</v>
      </c>
      <c r="M331" s="91" t="s">
        <v>113174</v>
      </c>
      <c r="N331" s="92">
        <v>45222</v>
      </c>
      <c r="O331" s="92" t="s">
        <v>113059</v>
      </c>
      <c r="P331" s="93" t="s">
        <v>113021</v>
      </c>
      <c r="Q331" s="93" t="s">
        <v>113303</v>
      </c>
      <c r="R331" s="117">
        <f>178500000+6166041+21943297.82</f>
        <v>206609338.81999999</v>
      </c>
      <c r="S331" s="95"/>
      <c r="T331" s="138"/>
      <c r="U331" s="91" t="s">
        <v>113161</v>
      </c>
    </row>
    <row r="332" spans="1:21" ht="25.5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113169</v>
      </c>
      <c r="L332" s="90" t="s">
        <v>113159</v>
      </c>
      <c r="M332" s="91" t="s">
        <v>113200</v>
      </c>
      <c r="N332" s="92">
        <v>45163</v>
      </c>
      <c r="O332" s="92" t="s">
        <v>113059</v>
      </c>
      <c r="P332" s="93" t="s">
        <v>113021</v>
      </c>
      <c r="Q332" s="93" t="s">
        <v>113302</v>
      </c>
      <c r="R332" s="117">
        <f>1655616086.67-21943297.82-43835356.02</f>
        <v>1589837432.8300002</v>
      </c>
      <c r="S332" s="95"/>
      <c r="T332" s="138"/>
      <c r="U332" s="91" t="s">
        <v>113161</v>
      </c>
    </row>
    <row r="333" spans="1:21" ht="24" customHeight="1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113169</v>
      </c>
      <c r="L333" s="90">
        <v>81101500</v>
      </c>
      <c r="M333" s="91" t="s">
        <v>113201</v>
      </c>
      <c r="N333" s="92">
        <v>45222</v>
      </c>
      <c r="O333" s="92" t="s">
        <v>113059</v>
      </c>
      <c r="P333" s="93" t="s">
        <v>113021</v>
      </c>
      <c r="Q333" s="93" t="s">
        <v>113303</v>
      </c>
      <c r="R333" s="117">
        <f>160005447.8+43835356.02-195000000-404845.31</f>
        <v>8435958.5100000221</v>
      </c>
      <c r="S333" s="95"/>
      <c r="T333" s="138"/>
      <c r="U333" s="91" t="s">
        <v>113161</v>
      </c>
    </row>
    <row r="334" spans="1:21" ht="36.75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113169</v>
      </c>
      <c r="L334" s="90" t="s">
        <v>113159</v>
      </c>
      <c r="M334" s="91" t="s">
        <v>113202</v>
      </c>
      <c r="N334" s="92">
        <v>45651</v>
      </c>
      <c r="O334" s="92" t="s">
        <v>113059</v>
      </c>
      <c r="P334" s="93" t="s">
        <v>113021</v>
      </c>
      <c r="Q334" s="93" t="s">
        <v>113302</v>
      </c>
      <c r="R334" s="117">
        <f>2900000000-7147237-29002880-16094179</f>
        <v>2847755704</v>
      </c>
      <c r="S334" s="95"/>
      <c r="T334" s="138"/>
      <c r="U334" s="91" t="s">
        <v>113161</v>
      </c>
    </row>
    <row r="335" spans="1:21" ht="24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113169</v>
      </c>
      <c r="L335" s="90">
        <v>81101500</v>
      </c>
      <c r="M335" s="91" t="s">
        <v>113203</v>
      </c>
      <c r="N335" s="92">
        <v>45651</v>
      </c>
      <c r="O335" s="92" t="s">
        <v>113059</v>
      </c>
      <c r="P335" s="93" t="s">
        <v>113021</v>
      </c>
      <c r="Q335" s="93" t="s">
        <v>113303</v>
      </c>
      <c r="R335" s="117">
        <f>300000000+8833032+1166968</f>
        <v>310000000</v>
      </c>
      <c r="S335" s="95"/>
      <c r="T335" s="138"/>
      <c r="U335" s="91" t="s">
        <v>113161</v>
      </c>
    </row>
    <row r="336" spans="1:21" ht="33.75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113169</v>
      </c>
      <c r="L336" s="90" t="s">
        <v>113159</v>
      </c>
      <c r="M336" s="91" t="s">
        <v>113204</v>
      </c>
      <c r="N336" s="92">
        <v>45651</v>
      </c>
      <c r="O336" s="92" t="s">
        <v>113059</v>
      </c>
      <c r="P336" s="93" t="s">
        <v>113021</v>
      </c>
      <c r="Q336" s="93" t="s">
        <v>113302</v>
      </c>
      <c r="R336" s="117">
        <f>2800000000+88483032</f>
        <v>2888483032</v>
      </c>
      <c r="S336" s="95"/>
      <c r="T336" s="138"/>
      <c r="U336" s="91" t="s">
        <v>113161</v>
      </c>
    </row>
    <row r="337" spans="1:21" ht="26.25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113169</v>
      </c>
      <c r="L337" s="90">
        <v>81101500</v>
      </c>
      <c r="M337" s="91" t="s">
        <v>113205</v>
      </c>
      <c r="N337" s="92">
        <v>45651</v>
      </c>
      <c r="O337" s="92" t="s">
        <v>113059</v>
      </c>
      <c r="P337" s="93" t="s">
        <v>113021</v>
      </c>
      <c r="Q337" s="93" t="s">
        <v>113303</v>
      </c>
      <c r="R337" s="117">
        <f>290000000+7147237+22852763</f>
        <v>320000000</v>
      </c>
      <c r="S337" s="95"/>
      <c r="T337" s="138"/>
      <c r="U337" s="91" t="s">
        <v>113161</v>
      </c>
    </row>
    <row r="338" spans="1:21" ht="24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113169</v>
      </c>
      <c r="L338" s="90" t="s">
        <v>113159</v>
      </c>
      <c r="M338" s="91" t="s">
        <v>113206</v>
      </c>
      <c r="N338" s="92">
        <v>45651</v>
      </c>
      <c r="O338" s="92" t="s">
        <v>113180</v>
      </c>
      <c r="P338" s="93" t="s">
        <v>113021</v>
      </c>
      <c r="Q338" s="93" t="s">
        <v>113302</v>
      </c>
      <c r="R338" s="117">
        <f>2400000000-8833032-22852763</f>
        <v>2368314205</v>
      </c>
      <c r="S338" s="95"/>
      <c r="T338" s="138"/>
      <c r="U338" s="91" t="s">
        <v>113161</v>
      </c>
    </row>
    <row r="339" spans="1:21" ht="26.25" customHeight="1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113169</v>
      </c>
      <c r="L339" s="90">
        <v>81101500</v>
      </c>
      <c r="M339" s="91" t="s">
        <v>113207</v>
      </c>
      <c r="N339" s="92">
        <v>45651</v>
      </c>
      <c r="O339" s="92" t="s">
        <v>113180</v>
      </c>
      <c r="P339" s="93" t="s">
        <v>113021</v>
      </c>
      <c r="Q339" s="93" t="s">
        <v>113303</v>
      </c>
      <c r="R339" s="117">
        <f>270000000+29002880</f>
        <v>299002880</v>
      </c>
      <c r="S339" s="95"/>
      <c r="T339" s="138"/>
      <c r="U339" s="91" t="s">
        <v>113161</v>
      </c>
    </row>
    <row r="340" spans="1:21" ht="27.75" customHeight="1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113169</v>
      </c>
      <c r="L340" s="90" t="s">
        <v>113159</v>
      </c>
      <c r="M340" s="91" t="s">
        <v>113171</v>
      </c>
      <c r="N340" s="92">
        <v>45651</v>
      </c>
      <c r="O340" s="92" t="s">
        <v>113180</v>
      </c>
      <c r="P340" s="93" t="s">
        <v>113021</v>
      </c>
      <c r="Q340" s="93" t="s">
        <v>113302</v>
      </c>
      <c r="R340" s="117">
        <f>2900000000-1166968-88483032</f>
        <v>2810350000</v>
      </c>
      <c r="S340" s="95"/>
      <c r="T340" s="138"/>
      <c r="U340" s="91" t="s">
        <v>113161</v>
      </c>
    </row>
    <row r="341" spans="1:21" ht="30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113169</v>
      </c>
      <c r="L341" s="90">
        <v>81101500</v>
      </c>
      <c r="M341" s="91" t="s">
        <v>113172</v>
      </c>
      <c r="N341" s="92">
        <v>45651</v>
      </c>
      <c r="O341" s="92" t="s">
        <v>113180</v>
      </c>
      <c r="P341" s="93" t="s">
        <v>113021</v>
      </c>
      <c r="Q341" s="93" t="s">
        <v>113303</v>
      </c>
      <c r="R341" s="117">
        <f>300000000+16094179</f>
        <v>316094179</v>
      </c>
      <c r="S341" s="95"/>
      <c r="T341" s="138"/>
      <c r="U341" s="91" t="s">
        <v>113161</v>
      </c>
    </row>
    <row r="342" spans="1:21" ht="35.25" customHeight="1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113169</v>
      </c>
      <c r="L342" s="90" t="s">
        <v>113159</v>
      </c>
      <c r="M342" s="91" t="s">
        <v>113208</v>
      </c>
      <c r="N342" s="92">
        <v>45641</v>
      </c>
      <c r="O342" s="92" t="s">
        <v>113180</v>
      </c>
      <c r="P342" s="93" t="s">
        <v>113010</v>
      </c>
      <c r="Q342" s="93" t="s">
        <v>113302</v>
      </c>
      <c r="R342" s="117">
        <f>1100000000-200000000+195000000</f>
        <v>1095000000</v>
      </c>
      <c r="S342" s="95" t="s">
        <v>105533</v>
      </c>
      <c r="T342" s="314">
        <v>3191426295.0047998</v>
      </c>
      <c r="U342" s="91" t="s">
        <v>113161</v>
      </c>
    </row>
    <row r="343" spans="1:21" ht="25.5" customHeight="1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113169</v>
      </c>
      <c r="L343" s="90">
        <v>81101500</v>
      </c>
      <c r="M343" s="91" t="s">
        <v>113209</v>
      </c>
      <c r="N343" s="92">
        <v>45641</v>
      </c>
      <c r="O343" s="92" t="s">
        <v>113180</v>
      </c>
      <c r="P343" s="93" t="s">
        <v>113010</v>
      </c>
      <c r="Q343" s="93" t="s">
        <v>113303</v>
      </c>
      <c r="R343" s="117">
        <v>160000000</v>
      </c>
      <c r="S343" s="95" t="s">
        <v>105533</v>
      </c>
      <c r="T343" s="314">
        <v>285450049</v>
      </c>
      <c r="U343" s="91" t="s">
        <v>113161</v>
      </c>
    </row>
    <row r="344" spans="1:21" ht="45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113169</v>
      </c>
      <c r="L344" s="90" t="s">
        <v>113159</v>
      </c>
      <c r="M344" s="91" t="s">
        <v>113210</v>
      </c>
      <c r="N344" s="92">
        <v>45641</v>
      </c>
      <c r="O344" s="92" t="s">
        <v>113180</v>
      </c>
      <c r="P344" s="93" t="s">
        <v>113021</v>
      </c>
      <c r="Q344" s="93" t="s">
        <v>113302</v>
      </c>
      <c r="R344" s="117">
        <f>1000000000-100000000</f>
        <v>900000000</v>
      </c>
      <c r="S344" s="95" t="s">
        <v>105533</v>
      </c>
      <c r="T344" s="314">
        <v>873272719.76999998</v>
      </c>
      <c r="U344" s="91" t="s">
        <v>113161</v>
      </c>
    </row>
    <row r="345" spans="1:21" ht="30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113169</v>
      </c>
      <c r="L345" s="90">
        <v>81101500</v>
      </c>
      <c r="M345" s="91" t="s">
        <v>113211</v>
      </c>
      <c r="N345" s="92">
        <v>45641</v>
      </c>
      <c r="O345" s="92" t="s">
        <v>113180</v>
      </c>
      <c r="P345" s="93" t="s">
        <v>113021</v>
      </c>
      <c r="Q345" s="93" t="s">
        <v>113303</v>
      </c>
      <c r="R345" s="117">
        <v>80000000</v>
      </c>
      <c r="S345" s="95" t="s">
        <v>105533</v>
      </c>
      <c r="T345" s="314">
        <v>104065708</v>
      </c>
      <c r="U345" s="91" t="s">
        <v>113161</v>
      </c>
    </row>
    <row r="346" spans="1:21" ht="45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113169</v>
      </c>
      <c r="L346" s="90" t="s">
        <v>113159</v>
      </c>
      <c r="M346" s="91" t="s">
        <v>113212</v>
      </c>
      <c r="N346" s="92">
        <v>45641</v>
      </c>
      <c r="O346" s="92" t="s">
        <v>113180</v>
      </c>
      <c r="P346" s="93" t="s">
        <v>113021</v>
      </c>
      <c r="Q346" s="93" t="s">
        <v>113302</v>
      </c>
      <c r="R346" s="117">
        <f>1000000000-100000000</f>
        <v>900000000</v>
      </c>
      <c r="S346" s="95" t="s">
        <v>105533</v>
      </c>
      <c r="T346" s="314">
        <v>610274233.07000005</v>
      </c>
      <c r="U346" s="91" t="s">
        <v>113161</v>
      </c>
    </row>
    <row r="347" spans="1:21" ht="30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 t="s">
        <v>113169</v>
      </c>
      <c r="L347" s="90">
        <v>81101500</v>
      </c>
      <c r="M347" s="91" t="s">
        <v>113213</v>
      </c>
      <c r="N347" s="92">
        <v>45641</v>
      </c>
      <c r="O347" s="92" t="s">
        <v>113180</v>
      </c>
      <c r="P347" s="93" t="s">
        <v>113021</v>
      </c>
      <c r="Q347" s="93" t="s">
        <v>113303</v>
      </c>
      <c r="R347" s="117">
        <v>120000000</v>
      </c>
      <c r="S347" s="95" t="s">
        <v>105533</v>
      </c>
      <c r="T347" s="314">
        <v>50000000</v>
      </c>
      <c r="U347" s="91" t="s">
        <v>113161</v>
      </c>
    </row>
    <row r="348" spans="1:21" ht="30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 t="s">
        <v>113169</v>
      </c>
      <c r="L348" s="90">
        <v>90121600</v>
      </c>
      <c r="M348" s="91" t="s">
        <v>113166</v>
      </c>
      <c r="N348" s="92">
        <v>45311</v>
      </c>
      <c r="O348" s="92" t="s">
        <v>113059</v>
      </c>
      <c r="P348" s="93" t="s">
        <v>113010</v>
      </c>
      <c r="Q348" s="93" t="s">
        <v>113293</v>
      </c>
      <c r="R348" s="117">
        <v>40000000</v>
      </c>
      <c r="S348" s="95"/>
      <c r="T348" s="138"/>
      <c r="U348" s="91" t="s">
        <v>113161</v>
      </c>
    </row>
    <row r="349" spans="1:21" x14ac:dyDescent="0.2">
      <c r="A349" s="322"/>
      <c r="B349" s="87"/>
      <c r="C349" s="88"/>
      <c r="D349" s="88"/>
      <c r="E349" s="88"/>
      <c r="F349" s="88"/>
      <c r="G349" s="88"/>
      <c r="H349" s="88"/>
      <c r="I349" s="88"/>
      <c r="J349" s="89"/>
      <c r="K349" s="89"/>
      <c r="L349" s="90"/>
      <c r="M349" s="91" t="s">
        <v>113305</v>
      </c>
      <c r="N349" s="92" t="s">
        <v>113030</v>
      </c>
      <c r="O349" s="92" t="s">
        <v>113030</v>
      </c>
      <c r="P349" s="92" t="s">
        <v>113030</v>
      </c>
      <c r="Q349" s="92" t="s">
        <v>113030</v>
      </c>
      <c r="R349" s="117">
        <f>200000000+100000000</f>
        <v>300000000</v>
      </c>
      <c r="S349" s="95"/>
      <c r="T349" s="138"/>
      <c r="U349" s="91"/>
    </row>
    <row r="350" spans="1:21" x14ac:dyDescent="0.2">
      <c r="A350" s="322"/>
      <c r="B350" s="87"/>
      <c r="C350" s="88"/>
      <c r="D350" s="88"/>
      <c r="E350" s="88"/>
      <c r="F350" s="88"/>
      <c r="G350" s="88"/>
      <c r="H350" s="88"/>
      <c r="I350" s="88"/>
      <c r="J350" s="89"/>
      <c r="K350" s="89"/>
      <c r="L350" s="90"/>
      <c r="M350" s="91" t="s">
        <v>113304</v>
      </c>
      <c r="N350" s="92" t="s">
        <v>113030</v>
      </c>
      <c r="O350" s="92" t="s">
        <v>113030</v>
      </c>
      <c r="P350" s="92" t="s">
        <v>113030</v>
      </c>
      <c r="Q350" s="92" t="s">
        <v>113030</v>
      </c>
      <c r="R350" s="117">
        <v>100000000</v>
      </c>
      <c r="S350" s="95"/>
      <c r="T350" s="138"/>
      <c r="U350" s="91"/>
    </row>
    <row r="351" spans="1:21" ht="30" x14ac:dyDescent="0.2">
      <c r="A351" s="322"/>
      <c r="B351" s="319"/>
      <c r="C351" s="320"/>
      <c r="D351" s="320"/>
      <c r="E351" s="320"/>
      <c r="F351" s="320"/>
      <c r="G351" s="320"/>
      <c r="H351" s="320"/>
      <c r="I351" s="320"/>
      <c r="J351" s="321"/>
      <c r="K351" s="321" t="s">
        <v>113169</v>
      </c>
      <c r="L351" s="90">
        <v>90111500</v>
      </c>
      <c r="M351" s="91" t="s">
        <v>113214</v>
      </c>
      <c r="N351" s="92">
        <v>45311</v>
      </c>
      <c r="O351" s="92" t="s">
        <v>113180</v>
      </c>
      <c r="P351" s="93" t="s">
        <v>113178</v>
      </c>
      <c r="Q351" s="93" t="s">
        <v>113030</v>
      </c>
      <c r="R351" s="117">
        <f>49478465.53+404845.31</f>
        <v>49883310.840000004</v>
      </c>
      <c r="S351" s="95"/>
      <c r="T351" s="138"/>
      <c r="U351" s="91" t="s">
        <v>113161</v>
      </c>
    </row>
  </sheetData>
  <sheetProtection formatCells="0" formatColumns="0" formatRows="0" insertColumns="0" insertRows="0" insertHyperlinks="0" deleteColumns="0" deleteRows="0" sort="0" autoFilter="0" pivotTables="0"/>
  <autoFilter ref="B6:U351" xr:uid="{00000000-0009-0000-0000-000000000000}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Hoja1!$B$5:$B$24</xm:f>
          </x14:formula1>
          <xm:sqref>U287:U1048576 U177:U267 U269:U284 U1:U155 U157:U175</xm:sqref>
        </x14:dataValidation>
        <x14:dataValidation type="list" allowBlank="1" showInputMessage="1" showErrorMessage="1" errorTitle="ERROR" error="ERROR" xr:uid="{00000000-0002-0000-0000-000001000000}">
          <x14:formula1>
            <xm:f>'\\172.23.131.133\Planeacion\4.Plan de adquisiciones\Plan de Adquisiciones 2023 - ICFE\[34.Plan Adquisiciones 2023 ICFE.xlsx]Hoja1'!#REF!</xm:f>
          </x14:formula1>
          <xm:sqref>U176 U156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113194</v>
      </c>
    </row>
    <row r="7" spans="2:2" x14ac:dyDescent="0.25">
      <c r="B7" t="s">
        <v>113031</v>
      </c>
    </row>
    <row r="8" spans="2:2" x14ac:dyDescent="0.25">
      <c r="B8" t="s">
        <v>113150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113195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113283</v>
      </c>
      <c r="F1" s="307"/>
      <c r="G1" t="s">
        <v>113282</v>
      </c>
    </row>
    <row r="2" spans="1:8" x14ac:dyDescent="0.25">
      <c r="B2" s="306"/>
      <c r="C2" s="305">
        <v>2022</v>
      </c>
      <c r="D2" s="305">
        <v>2023</v>
      </c>
      <c r="E2" s="304" t="s">
        <v>113281</v>
      </c>
      <c r="F2" s="304" t="s">
        <v>113281</v>
      </c>
      <c r="G2" s="303">
        <v>2024</v>
      </c>
    </row>
    <row r="3" spans="1:8" x14ac:dyDescent="0.25">
      <c r="B3" s="300" t="s">
        <v>113280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113279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113287</v>
      </c>
      <c r="B5" s="300" t="s">
        <v>113278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113277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113276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113275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113274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113273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113272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Raul Atehortua Puerta</cp:lastModifiedBy>
  <cp:lastPrinted>2024-01-25T19:32:48Z</cp:lastPrinted>
  <dcterms:created xsi:type="dcterms:W3CDTF">2023-10-19T21:58:24Z</dcterms:created>
  <dcterms:modified xsi:type="dcterms:W3CDTF">2024-05-06T17:01:12Z</dcterms:modified>
</cp:coreProperties>
</file>