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tables/table1.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harts/chart4.xml" ContentType="application/vnd.openxmlformats-officedocument.drawingml.chart+xml"/>
  <Override PartName="/xl/drawings/drawing5.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drawings/drawing6.xml" ContentType="application/vnd.openxmlformats-officedocument.drawing+xml"/>
  <Override PartName="/xl/comments6.xml" ContentType="application/vnd.openxmlformats-officedocument.spreadsheetml.comments+xml"/>
  <Override PartName="/xl/charts/chart6.xml" ContentType="application/vnd.openxmlformats-officedocument.drawingml.chart+xml"/>
  <Override PartName="/xl/drawings/drawing7.xml" ContentType="application/vnd.openxmlformats-officedocument.drawing+xml"/>
  <Override PartName="/xl/comments7.xml" ContentType="application/vnd.openxmlformats-officedocument.spreadsheetml.comments+xml"/>
  <Override PartName="/xl/charts/chart7.xml" ContentType="application/vnd.openxmlformats-officedocument.drawingml.chart+xml"/>
  <Override PartName="/xl/drawings/drawing8.xml" ContentType="application/vnd.openxmlformats-officedocument.drawing+xml"/>
  <Override PartName="/xl/comments8.xml" ContentType="application/vnd.openxmlformats-officedocument.spreadsheetml.comments+xml"/>
  <Override PartName="/xl/charts/chart8.xml" ContentType="application/vnd.openxmlformats-officedocument.drawingml.chart+xml"/>
  <Override PartName="/xl/drawings/drawing9.xml" ContentType="application/vnd.openxmlformats-officedocument.drawing+xml"/>
  <Override PartName="/xl/comments9.xml" ContentType="application/vnd.openxmlformats-officedocument.spreadsheetml.comments+xml"/>
  <Override PartName="/xl/charts/chart9.xml" ContentType="application/vnd.openxmlformats-officedocument.drawingml.chart+xml"/>
  <Override PartName="/xl/drawings/drawing10.xml" ContentType="application/vnd.openxmlformats-officedocument.drawing+xml"/>
  <Override PartName="/xl/comments10.xml" ContentType="application/vnd.openxmlformats-officedocument.spreadsheetml.comments+xml"/>
  <Override PartName="/xl/charts/chart10.xml" ContentType="application/vnd.openxmlformats-officedocument.drawingml.chart+xml"/>
  <Override PartName="/xl/drawings/drawing11.xml" ContentType="application/vnd.openxmlformats-officedocument.drawing+xml"/>
  <Override PartName="/xl/comments11.xml" ContentType="application/vnd.openxmlformats-officedocument.spreadsheetml.comments+xml"/>
  <Override PartName="/xl/charts/chart11.xml" ContentType="application/vnd.openxmlformats-officedocument.drawingml.chart+xml"/>
  <Override PartName="/xl/drawings/drawing12.xml" ContentType="application/vnd.openxmlformats-officedocument.drawing+xml"/>
  <Override PartName="/xl/comments12.xml" ContentType="application/vnd.openxmlformats-officedocument.spreadsheetml.comments+xml"/>
  <Override PartName="/xl/charts/chart12.xml" ContentType="application/vnd.openxmlformats-officedocument.drawingml.chart+xml"/>
  <Override PartName="/xl/drawings/drawing13.xml" ContentType="application/vnd.openxmlformats-officedocument.drawing+xml"/>
  <Override PartName="/xl/comments13.xml" ContentType="application/vnd.openxmlformats-officedocument.spreadsheetml.comments+xml"/>
  <Override PartName="/xl/charts/chart13.xml" ContentType="application/vnd.openxmlformats-officedocument.drawingml.chart+xml"/>
  <Override PartName="/xl/drawings/drawing14.xml" ContentType="application/vnd.openxmlformats-officedocument.drawing+xml"/>
  <Override PartName="/xl/comments14.xml" ContentType="application/vnd.openxmlformats-officedocument.spreadsheetml.comments+xml"/>
  <Override PartName="/xl/charts/chart14.xml" ContentType="application/vnd.openxmlformats-officedocument.drawingml.chart+xml"/>
  <Override PartName="/xl/drawings/drawing15.xml" ContentType="application/vnd.openxmlformats-officedocument.drawing+xml"/>
  <Override PartName="/xl/comments15.xml" ContentType="application/vnd.openxmlformats-officedocument.spreadsheetml.comments+xml"/>
  <Override PartName="/xl/charts/chart15.xml" ContentType="application/vnd.openxmlformats-officedocument.drawingml.chart+xml"/>
  <Override PartName="/xl/drawings/drawing16.xml" ContentType="application/vnd.openxmlformats-officedocument.drawing+xml"/>
  <Override PartName="/xl/comments16.xml" ContentType="application/vnd.openxmlformats-officedocument.spreadsheetml.comments+xml"/>
  <Override PartName="/xl/charts/chart16.xml" ContentType="application/vnd.openxmlformats-officedocument.drawingml.chart+xml"/>
  <Override PartName="/xl/drawings/drawing17.xml" ContentType="application/vnd.openxmlformats-officedocument.drawing+xml"/>
  <Override PartName="/xl/comments17.xml" ContentType="application/vnd.openxmlformats-officedocument.spreadsheetml.comments+xml"/>
  <Override PartName="/xl/charts/chart17.xml" ContentType="application/vnd.openxmlformats-officedocument.drawingml.chart+xml"/>
  <Override PartName="/xl/drawings/drawing18.xml" ContentType="application/vnd.openxmlformats-officedocument.drawing+xml"/>
  <Override PartName="/xl/comments18.xml" ContentType="application/vnd.openxmlformats-officedocument.spreadsheetml.comments+xml"/>
  <Override PartName="/xl/charts/chart18.xml" ContentType="application/vnd.openxmlformats-officedocument.drawingml.chart+xml"/>
  <Override PartName="/xl/drawings/drawing19.xml" ContentType="application/vnd.openxmlformats-officedocument.drawing+xml"/>
  <Override PartName="/xl/comments19.xml" ContentType="application/vnd.openxmlformats-officedocument.spreadsheetml.comments+xml"/>
  <Override PartName="/xl/charts/chart19.xml" ContentType="application/vnd.openxmlformats-officedocument.drawingml.chart+xml"/>
  <Override PartName="/xl/drawings/drawing20.xml" ContentType="application/vnd.openxmlformats-officedocument.drawing+xml"/>
  <Override PartName="/xl/comments20.xml" ContentType="application/vnd.openxmlformats-officedocument.spreadsheetml.comments+xml"/>
  <Override PartName="/xl/charts/chart20.xml" ContentType="application/vnd.openxmlformats-officedocument.drawingml.chart+xml"/>
  <Override PartName="/xl/drawings/drawing21.xml" ContentType="application/vnd.openxmlformats-officedocument.drawing+xml"/>
  <Override PartName="/xl/comments21.xml" ContentType="application/vnd.openxmlformats-officedocument.spreadsheetml.comments+xml"/>
  <Override PartName="/xl/charts/chart21.xml" ContentType="application/vnd.openxmlformats-officedocument.drawingml.chart+xml"/>
  <Override PartName="/xl/drawings/drawing22.xml" ContentType="application/vnd.openxmlformats-officedocument.drawing+xml"/>
  <Override PartName="/xl/comments22.xml" ContentType="application/vnd.openxmlformats-officedocument.spreadsheetml.comments+xml"/>
  <Override PartName="/xl/charts/chart22.xml" ContentType="application/vnd.openxmlformats-officedocument.drawingml.chart+xml"/>
  <Override PartName="/xl/drawings/drawing23.xml" ContentType="application/vnd.openxmlformats-officedocument.drawing+xml"/>
  <Override PartName="/xl/comments23.xml" ContentType="application/vnd.openxmlformats-officedocument.spreadsheetml.comments+xml"/>
  <Override PartName="/xl/charts/chart23.xml" ContentType="application/vnd.openxmlformats-officedocument.drawingml.chart+xml"/>
  <Override PartName="/xl/drawings/drawing24.xml" ContentType="application/vnd.openxmlformats-officedocument.drawing+xml"/>
  <Override PartName="/xl/comments24.xml" ContentType="application/vnd.openxmlformats-officedocument.spreadsheetml.comments+xml"/>
  <Override PartName="/xl/charts/chart24.xml" ContentType="application/vnd.openxmlformats-officedocument.drawingml.chart+xml"/>
  <Override PartName="/xl/drawings/drawing25.xml" ContentType="application/vnd.openxmlformats-officedocument.drawing+xml"/>
  <Override PartName="/xl/comments25.xml" ContentType="application/vnd.openxmlformats-officedocument.spreadsheetml.comments+xml"/>
  <Override PartName="/xl/charts/chart25.xml" ContentType="application/vnd.openxmlformats-officedocument.drawingml.chart+xml"/>
  <Override PartName="/xl/drawings/drawing26.xml" ContentType="application/vnd.openxmlformats-officedocument.drawing+xml"/>
  <Override PartName="/xl/comments26.xml" ContentType="application/vnd.openxmlformats-officedocument.spreadsheetml.comments+xml"/>
  <Override PartName="/xl/charts/chart26.xml" ContentType="application/vnd.openxmlformats-officedocument.drawingml.chart+xml"/>
  <Override PartName="/xl/drawings/drawing27.xml" ContentType="application/vnd.openxmlformats-officedocument.drawing+xml"/>
  <Override PartName="/xl/comments27.xml" ContentType="application/vnd.openxmlformats-officedocument.spreadsheetml.comments+xml"/>
  <Override PartName="/xl/charts/chart27.xml" ContentType="application/vnd.openxmlformats-officedocument.drawingml.chart+xml"/>
  <Override PartName="/xl/drawings/drawing28.xml" ContentType="application/vnd.openxmlformats-officedocument.drawing+xml"/>
  <Override PartName="/xl/comments28.xml" ContentType="application/vnd.openxmlformats-officedocument.spreadsheetml.comments+xml"/>
  <Override PartName="/xl/charts/chart28.xml" ContentType="application/vnd.openxmlformats-officedocument.drawingml.chart+xml"/>
  <Override PartName="/xl/drawings/drawing29.xml" ContentType="application/vnd.openxmlformats-officedocument.drawing+xml"/>
  <Override PartName="/xl/comments29.xml" ContentType="application/vnd.openxmlformats-officedocument.spreadsheetml.comments+xml"/>
  <Override PartName="/xl/charts/chart29.xml" ContentType="application/vnd.openxmlformats-officedocument.drawingml.chart+xml"/>
  <Override PartName="/xl/drawings/drawing30.xml" ContentType="application/vnd.openxmlformats-officedocument.drawing+xml"/>
  <Override PartName="/xl/comments30.xml" ContentType="application/vnd.openxmlformats-officedocument.spreadsheetml.comments+xml"/>
  <Override PartName="/xl/charts/chart30.xml" ContentType="application/vnd.openxmlformats-officedocument.drawingml.chart+xml"/>
  <Override PartName="/xl/drawings/drawing31.xml" ContentType="application/vnd.openxmlformats-officedocument.drawing+xml"/>
  <Override PartName="/xl/comments31.xml" ContentType="application/vnd.openxmlformats-officedocument.spreadsheetml.comments+xml"/>
  <Override PartName="/xl/charts/chart31.xml" ContentType="application/vnd.openxmlformats-officedocument.drawingml.chart+xml"/>
  <Override PartName="/xl/drawings/drawing32.xml" ContentType="application/vnd.openxmlformats-officedocument.drawing+xml"/>
  <Override PartName="/xl/comments32.xml" ContentType="application/vnd.openxmlformats-officedocument.spreadsheetml.comments+xml"/>
  <Override PartName="/xl/charts/chart32.xml" ContentType="application/vnd.openxmlformats-officedocument.drawingml.chart+xml"/>
  <Override PartName="/xl/drawings/drawing33.xml" ContentType="application/vnd.openxmlformats-officedocument.drawing+xml"/>
  <Override PartName="/xl/comments33.xml" ContentType="application/vnd.openxmlformats-officedocument.spreadsheetml.comments+xml"/>
  <Override PartName="/xl/charts/chart33.xml" ContentType="application/vnd.openxmlformats-officedocument.drawingml.chart+xml"/>
  <Override PartName="/xl/drawings/drawing34.xml" ContentType="application/vnd.openxmlformats-officedocument.drawing+xml"/>
  <Override PartName="/xl/comments34.xml" ContentType="application/vnd.openxmlformats-officedocument.spreadsheetml.comments+xml"/>
  <Override PartName="/xl/charts/chart34.xml" ContentType="application/vnd.openxmlformats-officedocument.drawingml.chart+xml"/>
  <Override PartName="/xl/drawings/drawing35.xml" ContentType="application/vnd.openxmlformats-officedocument.drawing+xml"/>
  <Override PartName="/xl/comments35.xml" ContentType="application/vnd.openxmlformats-officedocument.spreadsheetml.comments+xml"/>
  <Override PartName="/xl/charts/chart35.xml" ContentType="application/vnd.openxmlformats-officedocument.drawingml.chart+xml"/>
  <Override PartName="/xl/drawings/drawing36.xml" ContentType="application/vnd.openxmlformats-officedocument.drawing+xml"/>
  <Override PartName="/xl/comments36.xml" ContentType="application/vnd.openxmlformats-officedocument.spreadsheetml.comments+xml"/>
  <Override PartName="/xl/charts/chart36.xml" ContentType="application/vnd.openxmlformats-officedocument.drawingml.chart+xml"/>
  <Override PartName="/xl/drawings/drawing37.xml" ContentType="application/vnd.openxmlformats-officedocument.drawing+xml"/>
  <Override PartName="/xl/comments37.xml" ContentType="application/vnd.openxmlformats-officedocument.spreadsheetml.comments+xml"/>
  <Override PartName="/xl/charts/chart37.xml" ContentType="application/vnd.openxmlformats-officedocument.drawingml.chart+xml"/>
  <Override PartName="/xl/drawings/drawing38.xml" ContentType="application/vnd.openxmlformats-officedocument.drawing+xml"/>
  <Override PartName="/xl/comments38.xml" ContentType="application/vnd.openxmlformats-officedocument.spreadsheetml.comments+xml"/>
  <Override PartName="/xl/charts/chart38.xml" ContentType="application/vnd.openxmlformats-officedocument.drawingml.chart+xml"/>
  <Override PartName="/xl/drawings/drawing39.xml" ContentType="application/vnd.openxmlformats-officedocument.drawing+xml"/>
  <Override PartName="/xl/comments39.xml" ContentType="application/vnd.openxmlformats-officedocument.spreadsheetml.comments+xml"/>
  <Override PartName="/xl/charts/chart39.xml" ContentType="application/vnd.openxmlformats-officedocument.drawingml.chart+xml"/>
  <Override PartName="/xl/drawings/drawing40.xml" ContentType="application/vnd.openxmlformats-officedocument.drawing+xml"/>
  <Override PartName="/xl/comments40.xml" ContentType="application/vnd.openxmlformats-officedocument.spreadsheetml.comments+xml"/>
  <Override PartName="/xl/charts/chart40.xml" ContentType="application/vnd.openxmlformats-officedocument.drawingml.chart+xml"/>
  <Override PartName="/xl/drawings/drawing41.xml" ContentType="application/vnd.openxmlformats-officedocument.drawing+xml"/>
  <Override PartName="/xl/comments41.xml" ContentType="application/vnd.openxmlformats-officedocument.spreadsheetml.comments+xml"/>
  <Override PartName="/xl/charts/chart41.xml" ContentType="application/vnd.openxmlformats-officedocument.drawingml.chart+xml"/>
  <Override PartName="/xl/drawings/drawing42.xml" ContentType="application/vnd.openxmlformats-officedocument.drawing+xml"/>
  <Override PartName="/xl/comments42.xml" ContentType="application/vnd.openxmlformats-officedocument.spreadsheetml.comments+xml"/>
  <Override PartName="/xl/charts/chart42.xml" ContentType="application/vnd.openxmlformats-officedocument.drawingml.chart+xml"/>
  <Override PartName="/xl/drawings/drawing43.xml" ContentType="application/vnd.openxmlformats-officedocument.drawing+xml"/>
  <Override PartName="/xl/comments43.xml" ContentType="application/vnd.openxmlformats-officedocument.spreadsheetml.comments+xml"/>
  <Override PartName="/xl/charts/chart43.xml" ContentType="application/vnd.openxmlformats-officedocument.drawingml.chart+xml"/>
  <Override PartName="/xl/drawings/drawing44.xml" ContentType="application/vnd.openxmlformats-officedocument.drawing+xml"/>
  <Override PartName="/xl/comments44.xml" ContentType="application/vnd.openxmlformats-officedocument.spreadsheetml.comments+xml"/>
  <Override PartName="/xl/charts/chart44.xml" ContentType="application/vnd.openxmlformats-officedocument.drawingml.chart+xml"/>
  <Override PartName="/xl/drawings/drawing45.xml" ContentType="application/vnd.openxmlformats-officedocument.drawing+xml"/>
  <Override PartName="/xl/comments45.xml" ContentType="application/vnd.openxmlformats-officedocument.spreadsheetml.comments+xml"/>
  <Override PartName="/xl/charts/chart45.xml" ContentType="application/vnd.openxmlformats-officedocument.drawingml.chart+xml"/>
  <Override PartName="/xl/drawings/drawing46.xml" ContentType="application/vnd.openxmlformats-officedocument.drawing+xml"/>
  <Override PartName="/xl/comments46.xml" ContentType="application/vnd.openxmlformats-officedocument.spreadsheetml.comments+xml"/>
  <Override PartName="/xl/charts/chart46.xml" ContentType="application/vnd.openxmlformats-officedocument.drawingml.chart+xml"/>
  <Override PartName="/xl/drawings/drawing47.xml" ContentType="application/vnd.openxmlformats-officedocument.drawing+xml"/>
  <Override PartName="/xl/comments47.xml" ContentType="application/vnd.openxmlformats-officedocument.spreadsheetml.comments+xml"/>
  <Override PartName="/xl/charts/chart47.xml" ContentType="application/vnd.openxmlformats-officedocument.drawingml.chart+xml"/>
  <Override PartName="/xl/drawings/drawing48.xml" ContentType="application/vnd.openxmlformats-officedocument.drawing+xml"/>
  <Override PartName="/xl/comments48.xml" ContentType="application/vnd.openxmlformats-officedocument.spreadsheetml.comments+xml"/>
  <Override PartName="/xl/charts/chart48.xml" ContentType="application/vnd.openxmlformats-officedocument.drawingml.chart+xml"/>
  <Override PartName="/xl/drawings/drawing49.xml" ContentType="application/vnd.openxmlformats-officedocument.drawing+xml"/>
  <Override PartName="/xl/comments49.xml" ContentType="application/vnd.openxmlformats-officedocument.spreadsheetml.comments+xml"/>
  <Override PartName="/xl/charts/chart49.xml" ContentType="application/vnd.openxmlformats-officedocument.drawingml.chart+xml"/>
  <Override PartName="/xl/drawings/drawing50.xml" ContentType="application/vnd.openxmlformats-officedocument.drawing+xml"/>
  <Override PartName="/xl/comments50.xml" ContentType="application/vnd.openxmlformats-officedocument.spreadsheetml.comments+xml"/>
  <Override PartName="/xl/charts/chart50.xml" ContentType="application/vnd.openxmlformats-officedocument.drawingml.chart+xml"/>
  <Override PartName="/xl/drawings/drawing51.xml" ContentType="application/vnd.openxmlformats-officedocument.drawing+xml"/>
  <Override PartName="/xl/comments51.xml" ContentType="application/vnd.openxmlformats-officedocument.spreadsheetml.comments+xml"/>
  <Override PartName="/xl/charts/chart51.xml" ContentType="application/vnd.openxmlformats-officedocument.drawingml.chart+xml"/>
  <Override PartName="/xl/drawings/drawing52.xml" ContentType="application/vnd.openxmlformats-officedocument.drawing+xml"/>
  <Override PartName="/xl/comments52.xml" ContentType="application/vnd.openxmlformats-officedocument.spreadsheetml.comments+xml"/>
  <Override PartName="/xl/charts/chart52.xml" ContentType="application/vnd.openxmlformats-officedocument.drawingml.chart+xml"/>
  <Override PartName="/xl/drawings/drawing53.xml" ContentType="application/vnd.openxmlformats-officedocument.drawing+xml"/>
  <Override PartName="/xl/comments53.xml" ContentType="application/vnd.openxmlformats-officedocument.spreadsheetml.comments+xml"/>
  <Override PartName="/xl/charts/chart53.xml" ContentType="application/vnd.openxmlformats-officedocument.drawingml.chart+xml"/>
  <Override PartName="/xl/drawings/drawing54.xml" ContentType="application/vnd.openxmlformats-officedocument.drawing+xml"/>
  <Override PartName="/xl/comments54.xml" ContentType="application/vnd.openxmlformats-officedocument.spreadsheetml.comments+xml"/>
  <Override PartName="/xl/charts/chart54.xml" ContentType="application/vnd.openxmlformats-officedocument.drawingml.chart+xml"/>
  <Override PartName="/xl/drawings/drawing55.xml" ContentType="application/vnd.openxmlformats-officedocument.drawing+xml"/>
  <Override PartName="/xl/charts/chart55.xml" ContentType="application/vnd.openxmlformats-officedocument.drawingml.chart+xml"/>
  <Override PartName="/xl/charts/style1.xml" ContentType="application/vnd.ms-office.chartstyle+xml"/>
  <Override PartName="/xl/charts/colors1.xml" ContentType="application/vnd.ms-office.chartcolorstyle+xml"/>
  <Override PartName="/xl/charts/chart56.xml" ContentType="application/vnd.openxmlformats-officedocument.drawingml.chart+xml"/>
  <Override PartName="/xl/charts/style2.xml" ContentType="application/vnd.ms-office.chartstyle+xml"/>
  <Override PartName="/xl/charts/colors2.xml" ContentType="application/vnd.ms-office.chartcolorstyle+xml"/>
  <Override PartName="/xl/charts/chart57.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6.xml" ContentType="application/vnd.openxmlformats-officedocument.drawing+xml"/>
  <Override PartName="/xl/charts/chart58.xml" ContentType="application/vnd.openxmlformats-officedocument.drawingml.chart+xml"/>
  <Override PartName="/xl/charts/style4.xml" ContentType="application/vnd.ms-office.chartstyle+xml"/>
  <Override PartName="/xl/charts/colors4.xml" ContentType="application/vnd.ms-office.chartcolorstyle+xml"/>
  <Override PartName="/xl/charts/chart59.xml" ContentType="application/vnd.openxmlformats-officedocument.drawingml.chart+xml"/>
  <Override PartName="/xl/charts/style5.xml" ContentType="application/vnd.ms-office.chartstyle+xml"/>
  <Override PartName="/xl/charts/colors5.xml" ContentType="application/vnd.ms-office.chartcolorstyle+xml"/>
  <Override PartName="/xl/charts/chart60.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7.xml" ContentType="application/vnd.openxmlformats-officedocument.drawing+xml"/>
  <Override PartName="/xl/comments55.xml" ContentType="application/vnd.openxmlformats-officedocument.spreadsheetml.comments+xml"/>
  <Override PartName="/xl/charts/chart61.xml" ContentType="application/vnd.openxmlformats-officedocument.drawingml.chart+xml"/>
  <Override PartName="/xl/charts/chart6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23.131.133\Sistema Integrado de Gestion de Calidad y Ambiental\4. Indicadores de Gestión\2022\"/>
    </mc:Choice>
  </mc:AlternateContent>
  <bookViews>
    <workbookView xWindow="0" yWindow="0" windowWidth="28800" windowHeight="11205" tabRatio="692" firstSheet="53" activeTab="56"/>
  </bookViews>
  <sheets>
    <sheet name="INDICADORES DE GESTIÓN " sheetId="1" state="hidden" r:id="rId1"/>
    <sheet name="Hoja1" sheetId="3" state="hidden" r:id="rId2"/>
    <sheet name="PLANEACIÓN PL-IND1" sheetId="4" r:id="rId3"/>
    <sheet name="PLANEACIÓN PL-IND2" sheetId="5" r:id="rId4"/>
    <sheet name="PLANEACIÓN PL-IND3" sheetId="6" r:id="rId5"/>
    <sheet name="PLANEACIÓN PL-IND4" sheetId="7" r:id="rId6"/>
    <sheet name="JURÍDICA GJU-IND1" sheetId="8" r:id="rId7"/>
    <sheet name="JURÍDICA GJU-IND2" sheetId="9" r:id="rId8"/>
    <sheet name="JURÍDICA GJU-IND3" sheetId="10" r:id="rId9"/>
    <sheet name="JURÍDICA GJU-IND4" sheetId="11" r:id="rId10"/>
    <sheet name="JURÍDICA GJU-IND5" sheetId="76" r:id="rId11"/>
    <sheet name="INFORMÁTICA INF-IND1" sheetId="12" r:id="rId12"/>
    <sheet name="INFORMÁTICA INF-IND2" sheetId="67" r:id="rId13"/>
    <sheet name="INFORMÁTICA INF-IND3" sheetId="14" r:id="rId14"/>
    <sheet name="INFORMÁTICA INF-IND4" sheetId="15" r:id="rId15"/>
    <sheet name="GES. DOCUMENTAL GDOC-IND1" sheetId="66" r:id="rId16"/>
    <sheet name="TESORERÍA TES-IND1" sheetId="17" r:id="rId17"/>
    <sheet name="CAJA MENOR CAJA-IND1" sheetId="18" r:id="rId18"/>
    <sheet name="CONTABILIDAD CONT-IND1" sheetId="20" r:id="rId19"/>
    <sheet name="CONTABILIDAD CONT-IND2" sheetId="21" r:id="rId20"/>
    <sheet name="PRESUPUESTO PRE-IND1" sheetId="23" r:id="rId21"/>
    <sheet name="PRESUPUESTO PRE-IND2" sheetId="24" r:id="rId22"/>
    <sheet name="PROYECTOS GPRO-IND1" sheetId="25" r:id="rId23"/>
    <sheet name="PROYECTOS GPRO-IND2" sheetId="27" r:id="rId24"/>
    <sheet name="PROYECTOS GPRO-IND3" sheetId="70" r:id="rId25"/>
    <sheet name="PROYECTOS GPRO-IND4" sheetId="68" r:id="rId26"/>
    <sheet name="PROYECTOS GPRO-IND5" sheetId="69" r:id="rId27"/>
    <sheet name="PROYECTOS GPRO-IND6" sheetId="28" r:id="rId28"/>
    <sheet name="T. HUMANO TH-IND1" sheetId="29" r:id="rId29"/>
    <sheet name="T. HUMANO TH-IND2" sheetId="30" r:id="rId30"/>
    <sheet name="T. HUMANO TH-IND3" sheetId="31" r:id="rId31"/>
    <sheet name="AT. USUARIO ATU-IND1" sheetId="32" r:id="rId32"/>
    <sheet name="AT. USUARIO ATU-IND2" sheetId="33" r:id="rId33"/>
    <sheet name="MANTENIMIENTO MANT-IND1" sheetId="35" r:id="rId34"/>
    <sheet name="MANTENIMIENTO MANT-IND2" sheetId="37" r:id="rId35"/>
    <sheet name="VIVIENDAS VIV-IND1" sheetId="39" r:id="rId36"/>
    <sheet name="VIVIENDAS VIV-IND2" sheetId="40" r:id="rId37"/>
    <sheet name="FINCA RAIZ FIN-IND1" sheetId="41" r:id="rId38"/>
    <sheet name="FINCA RAIZ FIN-IND2" sheetId="48" r:id="rId39"/>
    <sheet name="SER. PUBLICOS SPU-IND1" sheetId="43" r:id="rId40"/>
    <sheet name="SER. PUBLICOS SPU-IND2" sheetId="44" r:id="rId41"/>
    <sheet name="SER. PUBLICOS SPU-IND3" sheetId="45" r:id="rId42"/>
    <sheet name="SER. PUBLICOS SPU-IND4" sheetId="46" r:id="rId43"/>
    <sheet name="SER. PUBLICOS SPU-IND5" sheetId="47" r:id="rId44"/>
    <sheet name="CARTERA CART-IND1" sheetId="49" r:id="rId45"/>
    <sheet name="CONTRATOS ADQ-IND1" sheetId="50" r:id="rId46"/>
    <sheet name="CONTRATOS ADQ-IND2" sheetId="51" r:id="rId47"/>
    <sheet name="ALMACÉN ALM-IND1" sheetId="52" r:id="rId48"/>
    <sheet name="TRANSPORTES TRA-IND1" sheetId="53" r:id="rId49"/>
    <sheet name="TRANSPORTES TRA-IND2" sheetId="54" r:id="rId50"/>
    <sheet name="GESTIÓN INTEGRAL SGA-IND1" sheetId="55" r:id="rId51"/>
    <sheet name="GESTIÓN INTEGRAL SGA-IND2" sheetId="61" r:id="rId52"/>
    <sheet name="GESTIÓN INTEGRAL SGA-IND3" sheetId="62" r:id="rId53"/>
    <sheet name="GESTIÓN INTEGRAL SGA-IND4" sheetId="64" r:id="rId54"/>
    <sheet name="GESTIÓN INTEGRAL SGA-IND5" sheetId="60" r:id="rId55"/>
    <sheet name="GESTIÓN INTEGRAL SST-IND1 2021" sheetId="72" r:id="rId56"/>
    <sheet name="GESTIÓN INTEGRAL SST IND1 2021" sheetId="75" r:id="rId57"/>
    <sheet name="ESTADISTICAS DE ACCIDENTALIDAD" sheetId="77" r:id="rId58"/>
    <sheet name="Instructivo" sheetId="2" state="hidden" r:id="rId59"/>
  </sheets>
  <externalReferences>
    <externalReference r:id="rId60"/>
    <externalReference r:id="rId61"/>
    <externalReference r:id="rId62"/>
    <externalReference r:id="rId63"/>
    <externalReference r:id="rId64"/>
    <externalReference r:id="rId65"/>
    <externalReference r:id="rId66"/>
    <externalReference r:id="rId67"/>
  </externalReferences>
  <definedNames>
    <definedName name="_xlnm.Print_Area" localSheetId="47">'ALMACÉN ALM-IND1'!$A$1:$Y$49</definedName>
    <definedName name="_xlnm.Print_Area" localSheetId="31">'AT. USUARIO ATU-IND1'!$A$1:$Y$49</definedName>
    <definedName name="_xlnm.Print_Area" localSheetId="32">'AT. USUARIO ATU-IND2'!$A$1:$Y$49</definedName>
    <definedName name="_xlnm.Print_Area" localSheetId="17">'CAJA MENOR CAJA-IND1'!$A$1:$Y$49</definedName>
    <definedName name="_xlnm.Print_Area" localSheetId="44">'CARTERA CART-IND1'!$A$1:$Y$49</definedName>
    <definedName name="_xlnm.Print_Area" localSheetId="18">'CONTABILIDAD CONT-IND1'!$A$1:$Y$49</definedName>
    <definedName name="_xlnm.Print_Area" localSheetId="19">'CONTABILIDAD CONT-IND2'!$A$1:$Y$49</definedName>
    <definedName name="_xlnm.Print_Area" localSheetId="45">'CONTRATOS ADQ-IND1'!$A$1:$Y$49</definedName>
    <definedName name="_xlnm.Print_Area" localSheetId="46">'CONTRATOS ADQ-IND2'!$A$1:$Y$49</definedName>
    <definedName name="_xlnm.Print_Area" localSheetId="37">'FINCA RAIZ FIN-IND1'!$A$1:$Y$49</definedName>
    <definedName name="_xlnm.Print_Area" localSheetId="38">'FINCA RAIZ FIN-IND2'!$A$1:$Y$49</definedName>
    <definedName name="_xlnm.Print_Area" localSheetId="15">'GES. DOCUMENTAL GDOC-IND1'!$A$1:$Y$49</definedName>
    <definedName name="_xlnm.Print_Area" localSheetId="50">'GESTIÓN INTEGRAL SGA-IND1'!$A$1:$AR$49</definedName>
    <definedName name="_xlnm.Print_Area" localSheetId="51">'GESTIÓN INTEGRAL SGA-IND2'!$A$1:$Y$49</definedName>
    <definedName name="_xlnm.Print_Area" localSheetId="52">'GESTIÓN INTEGRAL SGA-IND3'!$A$1:$Y$49</definedName>
    <definedName name="_xlnm.Print_Area" localSheetId="53">'GESTIÓN INTEGRAL SGA-IND4'!$A$1:$Y$49</definedName>
    <definedName name="_xlnm.Print_Area" localSheetId="54">'GESTIÓN INTEGRAL SGA-IND5'!$A$1:$Y$49</definedName>
    <definedName name="_xlnm.Print_Area" localSheetId="56">'GESTIÓN INTEGRAL SST IND1 2021'!$A$1:$Y$50</definedName>
    <definedName name="_xlnm.Print_Area" localSheetId="55">'GESTIÓN INTEGRAL SST-IND1 2021'!$A$1:$Y$50</definedName>
    <definedName name="_xlnm.Print_Area" localSheetId="0">'INDICADORES DE GESTIÓN '!$A$1:$Y$49</definedName>
    <definedName name="_xlnm.Print_Area" localSheetId="11">'INFORMÁTICA INF-IND1'!$A$1:$Y$49</definedName>
    <definedName name="_xlnm.Print_Area" localSheetId="12">'INFORMÁTICA INF-IND2'!$A$1:$Y$49</definedName>
    <definedName name="_xlnm.Print_Area" localSheetId="13">'INFORMÁTICA INF-IND3'!$A$1:$Y$49</definedName>
    <definedName name="_xlnm.Print_Area" localSheetId="14">'INFORMÁTICA INF-IND4'!$A$1:$Y$49</definedName>
    <definedName name="_xlnm.Print_Area" localSheetId="6">'JURÍDICA GJU-IND1'!$A$1:$Y$49</definedName>
    <definedName name="_xlnm.Print_Area" localSheetId="7">'JURÍDICA GJU-IND2'!$A$1:$Y$49</definedName>
    <definedName name="_xlnm.Print_Area" localSheetId="8">'JURÍDICA GJU-IND3'!$A$1:$Y$49</definedName>
    <definedName name="_xlnm.Print_Area" localSheetId="9">'JURÍDICA GJU-IND4'!$A$1:$Y$49</definedName>
    <definedName name="_xlnm.Print_Area" localSheetId="10">'JURÍDICA GJU-IND5'!$A$1:$Y$49</definedName>
    <definedName name="_xlnm.Print_Area" localSheetId="33">'MANTENIMIENTO MANT-IND1'!$A$1:$Y$49</definedName>
    <definedName name="_xlnm.Print_Area" localSheetId="34">'MANTENIMIENTO MANT-IND2'!$A$1:$Y$49</definedName>
    <definedName name="_xlnm.Print_Area" localSheetId="2">'PLANEACIÓN PL-IND1'!$A$1:$Y$49</definedName>
    <definedName name="_xlnm.Print_Area" localSheetId="3">'PLANEACIÓN PL-IND2'!$A$1:$Y$49</definedName>
    <definedName name="_xlnm.Print_Area" localSheetId="4">'PLANEACIÓN PL-IND3'!$A$1:$Y$49</definedName>
    <definedName name="_xlnm.Print_Area" localSheetId="5">'PLANEACIÓN PL-IND4'!$A$1:$Y$49</definedName>
    <definedName name="_xlnm.Print_Area" localSheetId="20">'PRESUPUESTO PRE-IND1'!$A$1:$Y$49</definedName>
    <definedName name="_xlnm.Print_Area" localSheetId="21">'PRESUPUESTO PRE-IND2'!$A$1:$Y$49</definedName>
    <definedName name="_xlnm.Print_Area" localSheetId="22">'PROYECTOS GPRO-IND1'!$A$1:$Y$49</definedName>
    <definedName name="_xlnm.Print_Area" localSheetId="23">'PROYECTOS GPRO-IND2'!$A$1:$Y$49</definedName>
    <definedName name="_xlnm.Print_Area" localSheetId="24">'PROYECTOS GPRO-IND3'!$A$1:$Y$49</definedName>
    <definedName name="_xlnm.Print_Area" localSheetId="25">'PROYECTOS GPRO-IND4'!$A$1:$Y$49</definedName>
    <definedName name="_xlnm.Print_Area" localSheetId="26">'PROYECTOS GPRO-IND5'!$A$1:$Y$49</definedName>
    <definedName name="_xlnm.Print_Area" localSheetId="27">'PROYECTOS GPRO-IND6'!$A$1:$Y$49</definedName>
    <definedName name="_xlnm.Print_Area" localSheetId="39">'SER. PUBLICOS SPU-IND1'!$A$1:$Y$49</definedName>
    <definedName name="_xlnm.Print_Area" localSheetId="40">'SER. PUBLICOS SPU-IND2'!$A$1:$Y$49</definedName>
    <definedName name="_xlnm.Print_Area" localSheetId="41">'SER. PUBLICOS SPU-IND3'!$A$1:$Y$49</definedName>
    <definedName name="_xlnm.Print_Area" localSheetId="42">'SER. PUBLICOS SPU-IND4'!$A$1:$Y$49</definedName>
    <definedName name="_xlnm.Print_Area" localSheetId="43">'SER. PUBLICOS SPU-IND5'!$A$1:$Y$49</definedName>
    <definedName name="_xlnm.Print_Area" localSheetId="28">'T. HUMANO TH-IND1'!$A$1:$Y$49</definedName>
    <definedName name="_xlnm.Print_Area" localSheetId="29">'T. HUMANO TH-IND2'!$A$1:$Y$49</definedName>
    <definedName name="_xlnm.Print_Area" localSheetId="30">'T. HUMANO TH-IND3'!$A$1:$Y$49</definedName>
    <definedName name="_xlnm.Print_Area" localSheetId="16">'TESORERÍA TES-IND1'!$A$1:$Y$49</definedName>
    <definedName name="_xlnm.Print_Area" localSheetId="48">'TRANSPORTES TRA-IND1'!$A$1:$Y$49</definedName>
    <definedName name="_xlnm.Print_Area" localSheetId="49">'TRANSPORTES TRA-IND2'!$A$1:$Y$49</definedName>
    <definedName name="_xlnm.Print_Area" localSheetId="35">'VIVIENDAS VIV-IND1'!$A$1:$Y$49</definedName>
    <definedName name="_xlnm.Print_Area" localSheetId="36">'VIVIENDAS VIV-IND2'!$A$1:$Y$49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0" i="77" l="1"/>
  <c r="A58" i="77"/>
  <c r="V21" i="77"/>
  <c r="K60" i="77" s="1"/>
  <c r="K65" i="77" s="1"/>
  <c r="K66" i="77" s="1"/>
  <c r="M21" i="77"/>
  <c r="H21" i="77"/>
  <c r="G21" i="77"/>
  <c r="I21" i="77" s="1"/>
  <c r="F21" i="77"/>
  <c r="C60" i="77" s="1"/>
  <c r="E21" i="77"/>
  <c r="B60" i="77" s="1"/>
  <c r="B21" i="77"/>
  <c r="A60" i="77" s="1"/>
  <c r="V20" i="77"/>
  <c r="T20" i="77"/>
  <c r="Q20" i="77"/>
  <c r="S20" i="77" s="1"/>
  <c r="M20" i="77"/>
  <c r="X20" i="77" s="1"/>
  <c r="I20" i="77"/>
  <c r="W20" i="77" s="1"/>
  <c r="V19" i="77"/>
  <c r="S19" i="77"/>
  <c r="R19" i="77"/>
  <c r="Q19" i="77"/>
  <c r="M19" i="77"/>
  <c r="X19" i="77" s="1"/>
  <c r="I19" i="77"/>
  <c r="T19" i="77" s="1"/>
  <c r="V18" i="77"/>
  <c r="Q18" i="77"/>
  <c r="T18" i="77" s="1"/>
  <c r="M18" i="77"/>
  <c r="X18" i="77" s="1"/>
  <c r="I18" i="77"/>
  <c r="W18" i="77" s="1"/>
  <c r="V17" i="77"/>
  <c r="S17" i="77"/>
  <c r="R17" i="77"/>
  <c r="Q17" i="77"/>
  <c r="M17" i="77"/>
  <c r="X17" i="77" s="1"/>
  <c r="I17" i="77"/>
  <c r="W17" i="77" s="1"/>
  <c r="V16" i="77"/>
  <c r="T16" i="77"/>
  <c r="Q16" i="77"/>
  <c r="S16" i="77" s="1"/>
  <c r="M16" i="77"/>
  <c r="X16" i="77" s="1"/>
  <c r="I16" i="77"/>
  <c r="W16" i="77" s="1"/>
  <c r="V15" i="77"/>
  <c r="S15" i="77"/>
  <c r="R15" i="77"/>
  <c r="U15" i="77" s="1"/>
  <c r="Q15" i="77"/>
  <c r="M15" i="77"/>
  <c r="X15" i="77" s="1"/>
  <c r="I15" i="77"/>
  <c r="T15" i="77" s="1"/>
  <c r="V14" i="77"/>
  <c r="Q14" i="77"/>
  <c r="T14" i="77" s="1"/>
  <c r="M14" i="77"/>
  <c r="X14" i="77" s="1"/>
  <c r="I14" i="77"/>
  <c r="W14" i="77" s="1"/>
  <c r="V13" i="77"/>
  <c r="S13" i="77"/>
  <c r="R13" i="77"/>
  <c r="Q13" i="77"/>
  <c r="M13" i="77"/>
  <c r="X13" i="77" s="1"/>
  <c r="I13" i="77"/>
  <c r="W13" i="77" s="1"/>
  <c r="V12" i="77"/>
  <c r="T12" i="77"/>
  <c r="Q12" i="77"/>
  <c r="S12" i="77" s="1"/>
  <c r="M12" i="77"/>
  <c r="X12" i="77" s="1"/>
  <c r="I12" i="77"/>
  <c r="W12" i="77" s="1"/>
  <c r="V11" i="77"/>
  <c r="S11" i="77"/>
  <c r="R11" i="77"/>
  <c r="Q11" i="77"/>
  <c r="M11" i="77"/>
  <c r="X11" i="77" s="1"/>
  <c r="I11" i="77"/>
  <c r="T11" i="77" s="1"/>
  <c r="V10" i="77"/>
  <c r="Q10" i="77"/>
  <c r="T10" i="77" s="1"/>
  <c r="M10" i="77"/>
  <c r="X10" i="77" s="1"/>
  <c r="I10" i="77"/>
  <c r="W10" i="77" s="1"/>
  <c r="V9" i="77"/>
  <c r="S9" i="77"/>
  <c r="R9" i="77"/>
  <c r="Q9" i="77"/>
  <c r="W9" i="77" s="1"/>
  <c r="M9" i="77"/>
  <c r="X9" i="77" s="1"/>
  <c r="I9" i="77"/>
  <c r="T9" i="77" s="1"/>
  <c r="W21" i="77" l="1"/>
  <c r="L60" i="77" s="1"/>
  <c r="L65" i="77" s="1"/>
  <c r="L66" i="77" s="1"/>
  <c r="D60" i="77"/>
  <c r="U9" i="77"/>
  <c r="U11" i="77"/>
  <c r="U19" i="77"/>
  <c r="W19" i="77"/>
  <c r="R10" i="77"/>
  <c r="U10" i="77" s="1"/>
  <c r="T13" i="77"/>
  <c r="U13" i="77" s="1"/>
  <c r="R14" i="77"/>
  <c r="U14" i="77" s="1"/>
  <c r="T17" i="77"/>
  <c r="U17" i="77" s="1"/>
  <c r="R18" i="77"/>
  <c r="U18" i="77" s="1"/>
  <c r="S10" i="77"/>
  <c r="S14" i="77"/>
  <c r="S18" i="77"/>
  <c r="Q21" i="77"/>
  <c r="F60" i="77" s="1"/>
  <c r="W11" i="77"/>
  <c r="W15" i="77"/>
  <c r="R21" i="77"/>
  <c r="R12" i="77"/>
  <c r="U12" i="77" s="1"/>
  <c r="R16" i="77"/>
  <c r="U16" i="77" s="1"/>
  <c r="R20" i="77"/>
  <c r="U20" i="77" s="1"/>
  <c r="AP18" i="64"/>
  <c r="T21" i="77" l="1"/>
  <c r="I60" i="77" s="1"/>
  <c r="I65" i="77" s="1"/>
  <c r="I66" i="77" s="1"/>
  <c r="S21" i="77"/>
  <c r="H60" i="77" s="1"/>
  <c r="H65" i="77" s="1"/>
  <c r="H66" i="77" s="1"/>
  <c r="X21" i="77"/>
  <c r="M60" i="77" s="1"/>
  <c r="M65" i="77" s="1"/>
  <c r="M66" i="77" s="1"/>
  <c r="G60" i="77"/>
  <c r="G65" i="77" s="1"/>
  <c r="G66" i="77" s="1"/>
  <c r="U21" i="77"/>
  <c r="J60" i="77" s="1"/>
  <c r="J65" i="77" s="1"/>
  <c r="J66" i="77" s="1"/>
  <c r="AP21" i="12"/>
  <c r="AR21" i="12"/>
  <c r="AP15" i="12"/>
  <c r="AP19" i="12"/>
  <c r="AR7" i="12"/>
  <c r="AR11" i="12"/>
  <c r="AR15" i="12"/>
  <c r="AP18" i="66" l="1"/>
  <c r="AP17" i="66"/>
  <c r="AP16" i="66"/>
  <c r="AP17" i="32" l="1"/>
  <c r="AP15" i="76" l="1"/>
  <c r="AP19" i="76"/>
  <c r="AP11" i="76"/>
  <c r="AP7" i="76"/>
  <c r="D24" i="76"/>
  <c r="D23" i="76"/>
  <c r="E27" i="76"/>
  <c r="E37" i="76" l="1"/>
  <c r="E36" i="76"/>
  <c r="E35" i="76"/>
  <c r="E34" i="76"/>
  <c r="E33" i="76"/>
  <c r="E32" i="76"/>
  <c r="E31" i="76"/>
  <c r="E30" i="76"/>
  <c r="E29" i="76"/>
  <c r="E28" i="76"/>
  <c r="C27" i="76"/>
  <c r="Y26" i="75" l="1"/>
  <c r="R21" i="75"/>
  <c r="M21" i="75"/>
  <c r="K21" i="75"/>
  <c r="I21" i="75"/>
  <c r="H21" i="75"/>
  <c r="J21" i="75" s="1"/>
  <c r="U21" i="75" s="1"/>
  <c r="G21" i="75"/>
  <c r="F21" i="75"/>
  <c r="V21" i="75" s="1"/>
  <c r="E21" i="75"/>
  <c r="D21" i="75"/>
  <c r="C21" i="75"/>
  <c r="W21" i="75" s="1"/>
  <c r="B21" i="75"/>
  <c r="Y20" i="75"/>
  <c r="X20" i="75"/>
  <c r="W20" i="75"/>
  <c r="U20" i="75"/>
  <c r="T20" i="75"/>
  <c r="V20" i="75" s="1"/>
  <c r="Y19" i="75"/>
  <c r="X19" i="75"/>
  <c r="W19" i="75"/>
  <c r="U19" i="75"/>
  <c r="T19" i="75"/>
  <c r="Y18" i="75"/>
  <c r="X18" i="75"/>
  <c r="W18" i="75"/>
  <c r="U18" i="75"/>
  <c r="T18" i="75"/>
  <c r="V18" i="75" s="1"/>
  <c r="Y17" i="75"/>
  <c r="X17" i="75"/>
  <c r="W17" i="75"/>
  <c r="U17" i="75"/>
  <c r="T17" i="75"/>
  <c r="S21" i="75"/>
  <c r="Y16" i="75"/>
  <c r="X16" i="75"/>
  <c r="W16" i="75"/>
  <c r="U16" i="75"/>
  <c r="T16" i="75"/>
  <c r="V16" i="75" s="1"/>
  <c r="Y15" i="75"/>
  <c r="X15" i="75"/>
  <c r="W15" i="75"/>
  <c r="U15" i="75"/>
  <c r="T15" i="75"/>
  <c r="V15" i="75" s="1"/>
  <c r="Y14" i="75"/>
  <c r="X14" i="75"/>
  <c r="W14" i="75"/>
  <c r="U14" i="75"/>
  <c r="T14" i="75"/>
  <c r="V14" i="75" s="1"/>
  <c r="Y13" i="75"/>
  <c r="X13" i="75"/>
  <c r="W13" i="75"/>
  <c r="U13" i="75"/>
  <c r="T13" i="75"/>
  <c r="V13" i="75" s="1"/>
  <c r="Y12" i="75"/>
  <c r="X12" i="75"/>
  <c r="W12" i="75"/>
  <c r="V12" i="75"/>
  <c r="Y11" i="75"/>
  <c r="X11" i="75"/>
  <c r="W11" i="75"/>
  <c r="U11" i="75"/>
  <c r="T11" i="75"/>
  <c r="Y10" i="75"/>
  <c r="X10" i="75"/>
  <c r="W10" i="75"/>
  <c r="U10" i="75"/>
  <c r="T10" i="75"/>
  <c r="V10" i="75" s="1"/>
  <c r="Y9" i="75"/>
  <c r="X9" i="75"/>
  <c r="W9" i="75"/>
  <c r="V9" i="75"/>
  <c r="U9" i="75"/>
  <c r="T9" i="75"/>
  <c r="Y26" i="72"/>
  <c r="S21" i="72"/>
  <c r="R21" i="72"/>
  <c r="M21" i="72"/>
  <c r="K21" i="72"/>
  <c r="I21" i="72"/>
  <c r="H21" i="72"/>
  <c r="J21" i="72" s="1"/>
  <c r="G21" i="72"/>
  <c r="F21" i="72"/>
  <c r="E21" i="72"/>
  <c r="D21" i="72"/>
  <c r="C21" i="72"/>
  <c r="W21" i="72" s="1"/>
  <c r="B21" i="72"/>
  <c r="Y20" i="72"/>
  <c r="X20" i="72"/>
  <c r="W20" i="72"/>
  <c r="U20" i="72"/>
  <c r="T20" i="72"/>
  <c r="V20" i="72" s="1"/>
  <c r="Y19" i="72"/>
  <c r="X19" i="72"/>
  <c r="W19" i="72"/>
  <c r="U19" i="72"/>
  <c r="T19" i="72"/>
  <c r="Y18" i="72"/>
  <c r="X18" i="72"/>
  <c r="W18" i="72"/>
  <c r="U18" i="72"/>
  <c r="T18" i="72"/>
  <c r="Y17" i="72"/>
  <c r="X17" i="72"/>
  <c r="W17" i="72"/>
  <c r="U17" i="72"/>
  <c r="T17" i="72"/>
  <c r="Y16" i="72"/>
  <c r="X16" i="72"/>
  <c r="W16" i="72"/>
  <c r="U16" i="72"/>
  <c r="V16" i="72" s="1"/>
  <c r="T16" i="72"/>
  <c r="Y15" i="72"/>
  <c r="X15" i="72"/>
  <c r="W15" i="72"/>
  <c r="U15" i="72"/>
  <c r="T15" i="72"/>
  <c r="Y14" i="72"/>
  <c r="X14" i="72"/>
  <c r="W14" i="72"/>
  <c r="U14" i="72"/>
  <c r="T14" i="72"/>
  <c r="Y13" i="72"/>
  <c r="X13" i="72"/>
  <c r="W13" i="72"/>
  <c r="U13" i="72"/>
  <c r="T13" i="72"/>
  <c r="Y12" i="72"/>
  <c r="X12" i="72"/>
  <c r="W12" i="72"/>
  <c r="V12" i="72"/>
  <c r="Y11" i="72"/>
  <c r="X11" i="72"/>
  <c r="W11" i="72"/>
  <c r="U11" i="72"/>
  <c r="T11" i="72"/>
  <c r="Y10" i="72"/>
  <c r="X10" i="72"/>
  <c r="W10" i="72"/>
  <c r="U10" i="72"/>
  <c r="T10" i="72"/>
  <c r="V10" i="72" s="1"/>
  <c r="Y9" i="72"/>
  <c r="X9" i="72"/>
  <c r="W9" i="72"/>
  <c r="V9" i="72"/>
  <c r="U9" i="72"/>
  <c r="T9" i="72"/>
  <c r="V19" i="75" l="1"/>
  <c r="X21" i="75"/>
  <c r="V17" i="75"/>
  <c r="V11" i="75"/>
  <c r="T21" i="75"/>
  <c r="U21" i="72"/>
  <c r="V17" i="72"/>
  <c r="V21" i="72"/>
  <c r="V14" i="72"/>
  <c r="V19" i="72"/>
  <c r="V18" i="72"/>
  <c r="V11" i="72"/>
  <c r="V13" i="72"/>
  <c r="V15" i="72"/>
  <c r="X21" i="72"/>
  <c r="Y21" i="75"/>
  <c r="Y21" i="72"/>
  <c r="T21" i="72"/>
  <c r="AY16" i="37" l="1"/>
  <c r="AP18" i="37" s="1"/>
  <c r="AL15" i="37"/>
  <c r="AP15" i="37" s="1"/>
  <c r="AR15" i="37" l="1"/>
  <c r="AI16" i="37"/>
  <c r="AP16" i="37" l="1"/>
  <c r="AI17" i="37"/>
  <c r="AP17" i="37" s="1"/>
  <c r="AL17" i="68" l="1"/>
  <c r="AL16" i="68" l="1"/>
  <c r="AP15" i="66" l="1"/>
  <c r="D23" i="37" l="1"/>
  <c r="D24" i="37"/>
  <c r="AZ11" i="33" l="1"/>
  <c r="AZ10" i="33"/>
  <c r="AZ9" i="33"/>
  <c r="AZ8" i="33"/>
  <c r="AZ7" i="33"/>
  <c r="AZ6" i="33"/>
  <c r="AZ5" i="33"/>
  <c r="AZ4" i="33"/>
  <c r="AY13" i="32"/>
  <c r="AY12" i="32"/>
  <c r="AY11" i="32"/>
  <c r="AY10" i="32"/>
  <c r="AY9" i="32"/>
  <c r="AY8" i="32"/>
  <c r="AY7" i="32"/>
  <c r="AY6" i="32"/>
  <c r="AY5" i="32"/>
  <c r="AY4" i="32"/>
  <c r="AP7" i="32"/>
  <c r="AW18" i="25"/>
  <c r="AL15" i="25"/>
  <c r="D27" i="41" l="1"/>
  <c r="D24" i="41"/>
  <c r="D23" i="41"/>
  <c r="AP15" i="39"/>
  <c r="N24" i="33"/>
  <c r="D24" i="33"/>
  <c r="N23" i="33"/>
  <c r="D23" i="33"/>
  <c r="N23" i="32"/>
  <c r="D23" i="32"/>
  <c r="N24" i="32"/>
  <c r="D24" i="32"/>
  <c r="T24" i="31"/>
  <c r="C36" i="31" s="1"/>
  <c r="N24" i="31"/>
  <c r="G24" i="31"/>
  <c r="C30" i="31" s="1"/>
  <c r="D24" i="31"/>
  <c r="T23" i="31"/>
  <c r="N23" i="31"/>
  <c r="G23" i="31"/>
  <c r="D23" i="31"/>
  <c r="C27" i="31" s="1"/>
  <c r="D23" i="30"/>
  <c r="D24" i="30"/>
  <c r="T24" i="29"/>
  <c r="N24" i="29"/>
  <c r="C33" i="29" s="1"/>
  <c r="G24" i="29"/>
  <c r="D24" i="29"/>
  <c r="T23" i="29"/>
  <c r="N23" i="29"/>
  <c r="G23" i="29"/>
  <c r="C30" i="29" s="1"/>
  <c r="D23" i="29"/>
  <c r="C27" i="29" s="1"/>
  <c r="AP15" i="23"/>
  <c r="T23" i="66"/>
  <c r="N23" i="66"/>
  <c r="G23" i="66"/>
  <c r="D23" i="66"/>
  <c r="D24" i="66"/>
  <c r="T24" i="15"/>
  <c r="N24" i="15"/>
  <c r="G24" i="15"/>
  <c r="D24" i="15"/>
  <c r="T23" i="15"/>
  <c r="N23" i="15"/>
  <c r="G23" i="15"/>
  <c r="D23" i="15"/>
  <c r="T24" i="14"/>
  <c r="N24" i="14"/>
  <c r="G24" i="14"/>
  <c r="D24" i="14"/>
  <c r="T23" i="14"/>
  <c r="N23" i="14"/>
  <c r="G23" i="14"/>
  <c r="D23" i="14"/>
  <c r="T24" i="11"/>
  <c r="N24" i="11"/>
  <c r="G24" i="11"/>
  <c r="D24" i="11"/>
  <c r="T23" i="11"/>
  <c r="N23" i="11"/>
  <c r="G23" i="11"/>
  <c r="D23" i="11"/>
  <c r="T24" i="10"/>
  <c r="N24" i="10"/>
  <c r="G24" i="10"/>
  <c r="D24" i="10"/>
  <c r="T23" i="10"/>
  <c r="N23" i="10"/>
  <c r="G23" i="10"/>
  <c r="D23" i="10"/>
  <c r="T24" i="9"/>
  <c r="N24" i="9"/>
  <c r="G24" i="9"/>
  <c r="D24" i="9"/>
  <c r="T23" i="9"/>
  <c r="N23" i="9"/>
  <c r="G23" i="9"/>
  <c r="D23" i="9"/>
  <c r="T24" i="8"/>
  <c r="N24" i="8"/>
  <c r="G24" i="8"/>
  <c r="D24" i="8"/>
  <c r="T23" i="8"/>
  <c r="N23" i="8"/>
  <c r="G23" i="8"/>
  <c r="D23" i="8"/>
  <c r="Q23" i="6"/>
  <c r="J23" i="6"/>
  <c r="D23" i="6"/>
  <c r="T24" i="7"/>
  <c r="N24" i="7"/>
  <c r="G24" i="7"/>
  <c r="D24" i="7"/>
  <c r="T23" i="7"/>
  <c r="N23" i="7"/>
  <c r="G23" i="7"/>
  <c r="D23" i="7"/>
  <c r="T24" i="5"/>
  <c r="N24" i="5"/>
  <c r="G24" i="5"/>
  <c r="D24" i="5"/>
  <c r="T23" i="5"/>
  <c r="N23" i="5"/>
  <c r="G23" i="5"/>
  <c r="D23" i="5"/>
  <c r="T23" i="4"/>
  <c r="N23" i="4"/>
  <c r="G23" i="4"/>
  <c r="D23" i="4"/>
  <c r="T24" i="4"/>
  <c r="N24" i="4"/>
  <c r="G24" i="4"/>
  <c r="D24" i="4"/>
  <c r="E37" i="31"/>
  <c r="E36" i="31"/>
  <c r="D36" i="31"/>
  <c r="E35" i="31"/>
  <c r="E34" i="31"/>
  <c r="E33" i="31"/>
  <c r="D33" i="31"/>
  <c r="E32" i="31"/>
  <c r="E31" i="31"/>
  <c r="E30" i="31"/>
  <c r="D30" i="31"/>
  <c r="E29" i="31"/>
  <c r="E28" i="31"/>
  <c r="E27" i="31"/>
  <c r="D27" i="31"/>
  <c r="AP22" i="31"/>
  <c r="AP21" i="31"/>
  <c r="AP20" i="31"/>
  <c r="AP19" i="31"/>
  <c r="AR19" i="31" s="1"/>
  <c r="AP17" i="31"/>
  <c r="AP16" i="31"/>
  <c r="AP15" i="31"/>
  <c r="AP14" i="31"/>
  <c r="AP13" i="31"/>
  <c r="AP12" i="31"/>
  <c r="AP11" i="31"/>
  <c r="AR11" i="31" s="1"/>
  <c r="AP10" i="31"/>
  <c r="AP9" i="31"/>
  <c r="AP8" i="31"/>
  <c r="AP7" i="31"/>
  <c r="AR7" i="31" s="1"/>
  <c r="E37" i="30"/>
  <c r="E36" i="30"/>
  <c r="D36" i="30"/>
  <c r="E35" i="30"/>
  <c r="E34" i="30"/>
  <c r="E33" i="30"/>
  <c r="D33" i="30"/>
  <c r="E32" i="30"/>
  <c r="E31" i="30"/>
  <c r="E30" i="30"/>
  <c r="D30" i="30"/>
  <c r="E29" i="30"/>
  <c r="E28" i="30"/>
  <c r="E27" i="30"/>
  <c r="D27" i="30"/>
  <c r="C27" i="30"/>
  <c r="T24" i="30"/>
  <c r="C36" i="30" s="1"/>
  <c r="N24" i="30"/>
  <c r="G24" i="30"/>
  <c r="T23" i="30"/>
  <c r="N23" i="30"/>
  <c r="G23" i="30"/>
  <c r="AP22" i="30"/>
  <c r="AP21" i="30"/>
  <c r="AP20" i="30"/>
  <c r="AP19" i="30"/>
  <c r="AR19" i="30" s="1"/>
  <c r="AP18" i="30"/>
  <c r="AP17" i="30"/>
  <c r="AP16" i="30"/>
  <c r="AP15" i="30"/>
  <c r="AP14" i="30"/>
  <c r="AP13" i="30"/>
  <c r="AP12" i="30"/>
  <c r="AP11" i="30"/>
  <c r="AR11" i="30" s="1"/>
  <c r="AP10" i="30"/>
  <c r="AP9" i="30"/>
  <c r="AP8" i="30"/>
  <c r="AR7" i="30"/>
  <c r="AP7" i="30"/>
  <c r="E37" i="29"/>
  <c r="E36" i="29"/>
  <c r="D36" i="29"/>
  <c r="E35" i="29"/>
  <c r="E34" i="29"/>
  <c r="E33" i="29"/>
  <c r="D33" i="29"/>
  <c r="E32" i="29"/>
  <c r="E31" i="29"/>
  <c r="E30" i="29"/>
  <c r="D30" i="29"/>
  <c r="E29" i="29"/>
  <c r="E28" i="29"/>
  <c r="E27" i="29"/>
  <c r="D27" i="29"/>
  <c r="C36" i="29"/>
  <c r="AP22" i="29"/>
  <c r="AP21" i="29"/>
  <c r="AP20" i="29"/>
  <c r="AP19" i="29"/>
  <c r="AR19" i="29" s="1"/>
  <c r="AP18" i="29"/>
  <c r="AP17" i="29"/>
  <c r="AP16" i="29"/>
  <c r="AP15" i="29"/>
  <c r="AP14" i="29"/>
  <c r="AP13" i="29"/>
  <c r="AP12" i="29"/>
  <c r="AP11" i="29"/>
  <c r="AR11" i="29" s="1"/>
  <c r="AP10" i="29"/>
  <c r="AP9" i="29"/>
  <c r="AP8" i="29"/>
  <c r="AR7" i="29"/>
  <c r="AP7" i="29"/>
  <c r="C33" i="31" l="1"/>
  <c r="C33" i="30"/>
  <c r="AR15" i="31"/>
  <c r="C30" i="30"/>
  <c r="AR15" i="30"/>
  <c r="AR15" i="29"/>
  <c r="AP11" i="55"/>
  <c r="AP12" i="55"/>
  <c r="T24" i="67" l="1"/>
  <c r="T23" i="67"/>
  <c r="N23" i="67"/>
  <c r="G23" i="67"/>
  <c r="N24" i="67"/>
  <c r="G24" i="67"/>
  <c r="D24" i="67"/>
  <c r="D23" i="67"/>
  <c r="E37" i="67"/>
  <c r="E36" i="67"/>
  <c r="D36" i="67"/>
  <c r="E35" i="67"/>
  <c r="E34" i="67"/>
  <c r="E33" i="67"/>
  <c r="D33" i="67"/>
  <c r="E32" i="67"/>
  <c r="E31" i="67"/>
  <c r="E30" i="67"/>
  <c r="D30" i="67"/>
  <c r="E29" i="67"/>
  <c r="E28" i="67"/>
  <c r="E27" i="67"/>
  <c r="D27" i="67"/>
  <c r="C27" i="67"/>
  <c r="E37" i="15"/>
  <c r="E36" i="15"/>
  <c r="D36" i="15"/>
  <c r="C36" i="15"/>
  <c r="E35" i="15"/>
  <c r="E34" i="15"/>
  <c r="E33" i="15"/>
  <c r="D33" i="15"/>
  <c r="C33" i="15"/>
  <c r="E32" i="15"/>
  <c r="E31" i="15"/>
  <c r="E30" i="15"/>
  <c r="D30" i="15"/>
  <c r="C30" i="15"/>
  <c r="E29" i="15"/>
  <c r="E28" i="15"/>
  <c r="E27" i="15"/>
  <c r="D27" i="15"/>
  <c r="C27" i="15"/>
  <c r="AP22" i="15"/>
  <c r="AP21" i="15"/>
  <c r="AP20" i="15"/>
  <c r="AP19" i="15"/>
  <c r="AR19" i="15" s="1"/>
  <c r="AP18" i="15"/>
  <c r="AP17" i="15"/>
  <c r="AP16" i="15"/>
  <c r="AP15" i="15"/>
  <c r="AP14" i="15"/>
  <c r="AR11" i="15" s="1"/>
  <c r="E37" i="14"/>
  <c r="E36" i="14"/>
  <c r="D36" i="14"/>
  <c r="C36" i="14"/>
  <c r="E35" i="14"/>
  <c r="E34" i="14"/>
  <c r="E33" i="14"/>
  <c r="D33" i="14"/>
  <c r="C33" i="14"/>
  <c r="E32" i="14"/>
  <c r="E31" i="14"/>
  <c r="E30" i="14"/>
  <c r="D30" i="14"/>
  <c r="C30" i="14"/>
  <c r="E29" i="14"/>
  <c r="E28" i="14"/>
  <c r="E27" i="14"/>
  <c r="D27" i="14"/>
  <c r="C27" i="14"/>
  <c r="AP22" i="14"/>
  <c r="AP21" i="14"/>
  <c r="AP20" i="14"/>
  <c r="AP19" i="14"/>
  <c r="AR19" i="14" s="1"/>
  <c r="AP18" i="14"/>
  <c r="AP17" i="14"/>
  <c r="AP16" i="14"/>
  <c r="AP15" i="14"/>
  <c r="AP14" i="14"/>
  <c r="AP13" i="14"/>
  <c r="AP12" i="14"/>
  <c r="AR11" i="14" s="1"/>
  <c r="AP11" i="14"/>
  <c r="AP10" i="14"/>
  <c r="AP9" i="14"/>
  <c r="AP8" i="14"/>
  <c r="AP7" i="14"/>
  <c r="AR7" i="14" s="1"/>
  <c r="AP22" i="67"/>
  <c r="AP21" i="67"/>
  <c r="AP20" i="67"/>
  <c r="AP19" i="67"/>
  <c r="AR19" i="67" s="1"/>
  <c r="AP18" i="67"/>
  <c r="AP17" i="67"/>
  <c r="AP16" i="67"/>
  <c r="AP15" i="67"/>
  <c r="AP14" i="67"/>
  <c r="AP13" i="67"/>
  <c r="AP12" i="67"/>
  <c r="AP11" i="67"/>
  <c r="AP10" i="67"/>
  <c r="AP9" i="67"/>
  <c r="AP8" i="67"/>
  <c r="AP7" i="67"/>
  <c r="D23" i="12"/>
  <c r="E37" i="12"/>
  <c r="E36" i="12"/>
  <c r="E35" i="12"/>
  <c r="E34" i="12"/>
  <c r="E33" i="12"/>
  <c r="E32" i="12"/>
  <c r="E31" i="12"/>
  <c r="E30" i="12"/>
  <c r="E29" i="12"/>
  <c r="E28" i="12"/>
  <c r="E27" i="12"/>
  <c r="D27" i="12"/>
  <c r="D24" i="12"/>
  <c r="AR15" i="15" l="1"/>
  <c r="C33" i="67"/>
  <c r="C36" i="67"/>
  <c r="AR15" i="67"/>
  <c r="C27" i="12"/>
  <c r="AR7" i="67"/>
  <c r="AR11" i="67"/>
  <c r="AR15" i="14"/>
  <c r="C30" i="67"/>
  <c r="AP22" i="47" l="1"/>
  <c r="AP21" i="47"/>
  <c r="AP20" i="47"/>
  <c r="AP19" i="47"/>
  <c r="AP18" i="47"/>
  <c r="AP17" i="47"/>
  <c r="AP16" i="47"/>
  <c r="AP15" i="47"/>
  <c r="AL12" i="47"/>
  <c r="AL13" i="47" s="1"/>
  <c r="AP11" i="47"/>
  <c r="AP10" i="47"/>
  <c r="AP9" i="47"/>
  <c r="AP8" i="47"/>
  <c r="AP7" i="47"/>
  <c r="AR7" i="47" s="1"/>
  <c r="AP22" i="46"/>
  <c r="AP21" i="46"/>
  <c r="AP20" i="46"/>
  <c r="AP19" i="46"/>
  <c r="AP18" i="46"/>
  <c r="AP17" i="46"/>
  <c r="AP16" i="46"/>
  <c r="AP15" i="46"/>
  <c r="AL12" i="46"/>
  <c r="AP12" i="46" s="1"/>
  <c r="AP11" i="46"/>
  <c r="AL8" i="46"/>
  <c r="AL9" i="46" s="1"/>
  <c r="AP7" i="46"/>
  <c r="AP22" i="45"/>
  <c r="AP21" i="45"/>
  <c r="AP20" i="45"/>
  <c r="AP19" i="45"/>
  <c r="AP18" i="45"/>
  <c r="AP17" i="45"/>
  <c r="AP16" i="45"/>
  <c r="AP15" i="45"/>
  <c r="AL12" i="45"/>
  <c r="AP12" i="45" s="1"/>
  <c r="AP11" i="45"/>
  <c r="AL8" i="45"/>
  <c r="AL9" i="45" s="1"/>
  <c r="AP7" i="45"/>
  <c r="AP22" i="44"/>
  <c r="AP21" i="44"/>
  <c r="AP20" i="44"/>
  <c r="AP19" i="44"/>
  <c r="AP18" i="44"/>
  <c r="AP17" i="44"/>
  <c r="AP16" i="44"/>
  <c r="AP15" i="44"/>
  <c r="AL12" i="44"/>
  <c r="AL13" i="44" s="1"/>
  <c r="AP11" i="44"/>
  <c r="AL8" i="44"/>
  <c r="AL9" i="44" s="1"/>
  <c r="AP7" i="44"/>
  <c r="AP22" i="43"/>
  <c r="AP21" i="43"/>
  <c r="AP20" i="43"/>
  <c r="AP19" i="43"/>
  <c r="AP18" i="43"/>
  <c r="AP17" i="43"/>
  <c r="AP16" i="43"/>
  <c r="AP15" i="43"/>
  <c r="AL12" i="43"/>
  <c r="AL13" i="43" s="1"/>
  <c r="AP11" i="43"/>
  <c r="AL8" i="43"/>
  <c r="AL9" i="43" s="1"/>
  <c r="AP7" i="43"/>
  <c r="AR19" i="44" l="1"/>
  <c r="AR19" i="46"/>
  <c r="AR19" i="47"/>
  <c r="AR19" i="45"/>
  <c r="AR19" i="43"/>
  <c r="AR15" i="43"/>
  <c r="AR15" i="45"/>
  <c r="AR15" i="46"/>
  <c r="AR15" i="44"/>
  <c r="AP12" i="44"/>
  <c r="AR11" i="44" s="1"/>
  <c r="AR15" i="47"/>
  <c r="AL14" i="47"/>
  <c r="AP14" i="47" s="1"/>
  <c r="AP13" i="47"/>
  <c r="AP12" i="47"/>
  <c r="AR11" i="47" s="1"/>
  <c r="AL10" i="46"/>
  <c r="AP10" i="46" s="1"/>
  <c r="AP9" i="46"/>
  <c r="AP8" i="46"/>
  <c r="AR7" i="46" s="1"/>
  <c r="AL13" i="46"/>
  <c r="AL10" i="45"/>
  <c r="AP10" i="45" s="1"/>
  <c r="AP9" i="45"/>
  <c r="AP8" i="45"/>
  <c r="AR7" i="45" s="1"/>
  <c r="AL13" i="45"/>
  <c r="AL10" i="44"/>
  <c r="AP10" i="44" s="1"/>
  <c r="AP9" i="44"/>
  <c r="AL14" i="44"/>
  <c r="AP14" i="44" s="1"/>
  <c r="AP13" i="44"/>
  <c r="AP8" i="44"/>
  <c r="AR7" i="44" s="1"/>
  <c r="AL10" i="43"/>
  <c r="AP10" i="43" s="1"/>
  <c r="AP9" i="43"/>
  <c r="AL14" i="43"/>
  <c r="AP14" i="43" s="1"/>
  <c r="AP13" i="43"/>
  <c r="AP8" i="43"/>
  <c r="AP12" i="43"/>
  <c r="AR11" i="43" s="1"/>
  <c r="AR7" i="43" l="1"/>
  <c r="AP13" i="46"/>
  <c r="AL14" i="46"/>
  <c r="AP14" i="46" s="1"/>
  <c r="AL14" i="45"/>
  <c r="AP14" i="45" s="1"/>
  <c r="AP13" i="45"/>
  <c r="AR11" i="45" l="1"/>
  <c r="AR11" i="46"/>
  <c r="E37" i="33" l="1"/>
  <c r="E36" i="33"/>
  <c r="C36" i="33"/>
  <c r="E35" i="33"/>
  <c r="E34" i="33"/>
  <c r="E33" i="33"/>
  <c r="D33" i="33"/>
  <c r="C33" i="33"/>
  <c r="E32" i="33"/>
  <c r="E31" i="33"/>
  <c r="E30" i="33"/>
  <c r="E29" i="33"/>
  <c r="E28" i="33"/>
  <c r="E27" i="33"/>
  <c r="D27" i="33"/>
  <c r="C27" i="33"/>
  <c r="C27" i="32"/>
  <c r="C33" i="32"/>
  <c r="E37" i="32"/>
  <c r="E36" i="32"/>
  <c r="C36" i="32"/>
  <c r="E35" i="32"/>
  <c r="E34" i="32"/>
  <c r="E33" i="32"/>
  <c r="D33" i="32"/>
  <c r="E32" i="32"/>
  <c r="E31" i="32"/>
  <c r="E30" i="32"/>
  <c r="E29" i="32"/>
  <c r="E28" i="32"/>
  <c r="E27" i="32"/>
  <c r="D27" i="32"/>
  <c r="AP18" i="27"/>
  <c r="AP16" i="28"/>
  <c r="AP17" i="28"/>
  <c r="AP18" i="28"/>
  <c r="T23" i="70"/>
  <c r="N23" i="70"/>
  <c r="C33" i="70" s="1"/>
  <c r="G23" i="70"/>
  <c r="C36" i="70"/>
  <c r="C30" i="70"/>
  <c r="AP18" i="70"/>
  <c r="AR15" i="70" s="1"/>
  <c r="AP17" i="70"/>
  <c r="AP16" i="70"/>
  <c r="AP15" i="70"/>
  <c r="AP22" i="21"/>
  <c r="AP21" i="21"/>
  <c r="AP20" i="21"/>
  <c r="AP19" i="21"/>
  <c r="AR19" i="21" s="1"/>
  <c r="AP18" i="21"/>
  <c r="AP17" i="21"/>
  <c r="AP16" i="21"/>
  <c r="AP15" i="21"/>
  <c r="AP14" i="21"/>
  <c r="AP13" i="21"/>
  <c r="AP12" i="21"/>
  <c r="AP11" i="21"/>
  <c r="AP10" i="21"/>
  <c r="AP9" i="21"/>
  <c r="AP8" i="21"/>
  <c r="AP7" i="21"/>
  <c r="AP22" i="20"/>
  <c r="AP21" i="20"/>
  <c r="AP20" i="20"/>
  <c r="AP19" i="20"/>
  <c r="AR19" i="20" s="1"/>
  <c r="AP18" i="20"/>
  <c r="AP17" i="20"/>
  <c r="AP16" i="20"/>
  <c r="AP15" i="20"/>
  <c r="AP14" i="20"/>
  <c r="AP13" i="20"/>
  <c r="AP12" i="20"/>
  <c r="AR11" i="20"/>
  <c r="AP11" i="20"/>
  <c r="AP10" i="20"/>
  <c r="AP9" i="20"/>
  <c r="AP8" i="20"/>
  <c r="AP7" i="20"/>
  <c r="AR15" i="21" l="1"/>
  <c r="AR15" i="20"/>
  <c r="AR7" i="21"/>
  <c r="AR11" i="21"/>
  <c r="AR7" i="20"/>
  <c r="AP22" i="54"/>
  <c r="AP21" i="54"/>
  <c r="AP20" i="54"/>
  <c r="AR19" i="54"/>
  <c r="AP19" i="54"/>
  <c r="AP18" i="54"/>
  <c r="AP17" i="54"/>
  <c r="AP16" i="54"/>
  <c r="AP15" i="54"/>
  <c r="AP14" i="54"/>
  <c r="AP13" i="54"/>
  <c r="AP12" i="54"/>
  <c r="AP11" i="54"/>
  <c r="AP10" i="54"/>
  <c r="AP9" i="54"/>
  <c r="AP8" i="54"/>
  <c r="AP7" i="54"/>
  <c r="AP22" i="53"/>
  <c r="AP21" i="53"/>
  <c r="AP20" i="53"/>
  <c r="AP19" i="53"/>
  <c r="AR19" i="53" s="1"/>
  <c r="AP18" i="53"/>
  <c r="AP17" i="53"/>
  <c r="AP16" i="53"/>
  <c r="AP15" i="53"/>
  <c r="AP14" i="53"/>
  <c r="AP13" i="53"/>
  <c r="AP12" i="53"/>
  <c r="AP11" i="53"/>
  <c r="AL10" i="53"/>
  <c r="AP10" i="53" s="1"/>
  <c r="AP9" i="53"/>
  <c r="AP8" i="53"/>
  <c r="AP7" i="53"/>
  <c r="AR15" i="54" l="1"/>
  <c r="AR11" i="53"/>
  <c r="AR15" i="53"/>
  <c r="AR7" i="54"/>
  <c r="AR11" i="54"/>
  <c r="AR7" i="53"/>
  <c r="AR7" i="28" l="1"/>
  <c r="AP22" i="69"/>
  <c r="AP21" i="69"/>
  <c r="AP20" i="69"/>
  <c r="AP19" i="69"/>
  <c r="AR19" i="69" s="1"/>
  <c r="AP18" i="69"/>
  <c r="AP16" i="69"/>
  <c r="AP15" i="69"/>
  <c r="AP11" i="69"/>
  <c r="AR11" i="69" s="1"/>
  <c r="AP7" i="69"/>
  <c r="AR7" i="69" s="1"/>
  <c r="AP22" i="68"/>
  <c r="AP21" i="68"/>
  <c r="AP20" i="68"/>
  <c r="AP19" i="68"/>
  <c r="AR19" i="68" s="1"/>
  <c r="AI18" i="68"/>
  <c r="AI17" i="68"/>
  <c r="AI16" i="68"/>
  <c r="AP16" i="68" s="1"/>
  <c r="AL15" i="68"/>
  <c r="AI15" i="68"/>
  <c r="AL11" i="68"/>
  <c r="AI11" i="68"/>
  <c r="AP7" i="68"/>
  <c r="AR7" i="68" s="1"/>
  <c r="AW16" i="25"/>
  <c r="AW15" i="25"/>
  <c r="AW14" i="25"/>
  <c r="AP22" i="70"/>
  <c r="AP21" i="70"/>
  <c r="AP20" i="70"/>
  <c r="AP19" i="70"/>
  <c r="AR19" i="70" s="1"/>
  <c r="AR11" i="70"/>
  <c r="AP11" i="70"/>
  <c r="AP7" i="70"/>
  <c r="AR7" i="70" s="1"/>
  <c r="AP22" i="27"/>
  <c r="AP21" i="27"/>
  <c r="AP20" i="27"/>
  <c r="AP19" i="27"/>
  <c r="AR19" i="27" s="1"/>
  <c r="AP15" i="27"/>
  <c r="AR15" i="27" s="1"/>
  <c r="AR11" i="27"/>
  <c r="AP11" i="27"/>
  <c r="AP7" i="27"/>
  <c r="AR7" i="27" s="1"/>
  <c r="AP22" i="25"/>
  <c r="AP21" i="25"/>
  <c r="AP20" i="25"/>
  <c r="AP19" i="25"/>
  <c r="AR19" i="25" s="1"/>
  <c r="AI18" i="25"/>
  <c r="AI17" i="25"/>
  <c r="AI16" i="25"/>
  <c r="AP16" i="25" s="1"/>
  <c r="AI15" i="25"/>
  <c r="AP15" i="25" s="1"/>
  <c r="AL11" i="25"/>
  <c r="AI11" i="25"/>
  <c r="AI7" i="25"/>
  <c r="AL7" i="25" s="1"/>
  <c r="AR15" i="69" l="1"/>
  <c r="AP11" i="25"/>
  <c r="AR11" i="25" s="1"/>
  <c r="AV25" i="25"/>
  <c r="AP7" i="25"/>
  <c r="AR7" i="25" s="1"/>
  <c r="AV26" i="25"/>
  <c r="AP11" i="68"/>
  <c r="AR11" i="68" s="1"/>
  <c r="AR15" i="25"/>
  <c r="AP15" i="68"/>
  <c r="AR15" i="68" s="1"/>
  <c r="AP22" i="49" l="1"/>
  <c r="AP21" i="49"/>
  <c r="AP20" i="49"/>
  <c r="AP19" i="49"/>
  <c r="AR19" i="49" s="1"/>
  <c r="AP18" i="49"/>
  <c r="AP17" i="49"/>
  <c r="AP16" i="49"/>
  <c r="AP15" i="49"/>
  <c r="AP14" i="49"/>
  <c r="AP13" i="49"/>
  <c r="AP12" i="49"/>
  <c r="AP11" i="49"/>
  <c r="AR11" i="49" s="1"/>
  <c r="AP10" i="49"/>
  <c r="AP9" i="49"/>
  <c r="AP8" i="49"/>
  <c r="AP7" i="49"/>
  <c r="AR15" i="49" l="1"/>
  <c r="AR7" i="49"/>
  <c r="E37" i="70"/>
  <c r="E36" i="70"/>
  <c r="D36" i="70"/>
  <c r="E35" i="70"/>
  <c r="E34" i="70"/>
  <c r="E33" i="70"/>
  <c r="D33" i="70"/>
  <c r="E32" i="70"/>
  <c r="E31" i="70"/>
  <c r="E30" i="70"/>
  <c r="D30" i="70"/>
  <c r="E29" i="70"/>
  <c r="E28" i="70"/>
  <c r="E27" i="70"/>
  <c r="D27" i="70"/>
  <c r="D23" i="70"/>
  <c r="C27" i="70" s="1"/>
  <c r="E37" i="69"/>
  <c r="E36" i="69"/>
  <c r="D36" i="69"/>
  <c r="E35" i="69"/>
  <c r="E34" i="69"/>
  <c r="E33" i="69"/>
  <c r="D33" i="69"/>
  <c r="E32" i="69"/>
  <c r="E31" i="69"/>
  <c r="E30" i="69"/>
  <c r="D30" i="69"/>
  <c r="E29" i="69"/>
  <c r="E28" i="69"/>
  <c r="E27" i="69"/>
  <c r="D27" i="69"/>
  <c r="T24" i="69"/>
  <c r="N24" i="69"/>
  <c r="G24" i="69"/>
  <c r="D24" i="69"/>
  <c r="T23" i="69"/>
  <c r="N23" i="69"/>
  <c r="G23" i="69"/>
  <c r="D23" i="69"/>
  <c r="C27" i="69" s="1"/>
  <c r="E37" i="68"/>
  <c r="E36" i="68"/>
  <c r="D36" i="68"/>
  <c r="E35" i="68"/>
  <c r="E34" i="68"/>
  <c r="E33" i="68"/>
  <c r="D33" i="68"/>
  <c r="E32" i="68"/>
  <c r="E31" i="68"/>
  <c r="E30" i="68"/>
  <c r="D30" i="68"/>
  <c r="E29" i="68"/>
  <c r="E28" i="68"/>
  <c r="E27" i="68"/>
  <c r="D27" i="68"/>
  <c r="T24" i="68"/>
  <c r="N24" i="68"/>
  <c r="G24" i="68"/>
  <c r="D24" i="68"/>
  <c r="T23" i="68"/>
  <c r="N23" i="68"/>
  <c r="G23" i="68"/>
  <c r="D23" i="68"/>
  <c r="C27" i="68" s="1"/>
  <c r="C30" i="68" l="1"/>
  <c r="C33" i="69"/>
  <c r="C33" i="68"/>
  <c r="C36" i="68"/>
  <c r="C36" i="69"/>
  <c r="C30" i="69"/>
  <c r="E37" i="40" l="1"/>
  <c r="E36" i="40"/>
  <c r="D36" i="40"/>
  <c r="E35" i="40"/>
  <c r="E34" i="40"/>
  <c r="E33" i="40"/>
  <c r="D33" i="40"/>
  <c r="E32" i="40"/>
  <c r="E31" i="40"/>
  <c r="E30" i="40"/>
  <c r="D30" i="40"/>
  <c r="E29" i="40"/>
  <c r="E28" i="40"/>
  <c r="E27" i="40"/>
  <c r="D27" i="40"/>
  <c r="T24" i="40"/>
  <c r="N24" i="40"/>
  <c r="G24" i="40"/>
  <c r="D24" i="40"/>
  <c r="T23" i="40"/>
  <c r="N23" i="40"/>
  <c r="C33" i="40" s="1"/>
  <c r="G23" i="40"/>
  <c r="D23" i="40"/>
  <c r="C27" i="40" s="1"/>
  <c r="AP22" i="40"/>
  <c r="AP21" i="40"/>
  <c r="AP20" i="40"/>
  <c r="AP19" i="40"/>
  <c r="AR19" i="40" s="1"/>
  <c r="AP18" i="40"/>
  <c r="AP17" i="40"/>
  <c r="AP16" i="40"/>
  <c r="AP15" i="40"/>
  <c r="AP14" i="40"/>
  <c r="AP13" i="40"/>
  <c r="AP12" i="40"/>
  <c r="AP11" i="40"/>
  <c r="AP10" i="40"/>
  <c r="AP9" i="40"/>
  <c r="AP8" i="40"/>
  <c r="AP7" i="40"/>
  <c r="AR7" i="40" s="1"/>
  <c r="E37" i="39"/>
  <c r="E36" i="39"/>
  <c r="D36" i="39"/>
  <c r="E35" i="39"/>
  <c r="E34" i="39"/>
  <c r="E33" i="39"/>
  <c r="D33" i="39"/>
  <c r="E32" i="39"/>
  <c r="E31" i="39"/>
  <c r="E30" i="39"/>
  <c r="D30" i="39"/>
  <c r="E29" i="39"/>
  <c r="E28" i="39"/>
  <c r="E27" i="39"/>
  <c r="D27" i="39"/>
  <c r="T24" i="39"/>
  <c r="N24" i="39"/>
  <c r="G24" i="39"/>
  <c r="D24" i="39"/>
  <c r="T23" i="39"/>
  <c r="N23" i="39"/>
  <c r="G23" i="39"/>
  <c r="C30" i="39" s="1"/>
  <c r="D23" i="39"/>
  <c r="C27" i="39" s="1"/>
  <c r="AP22" i="39"/>
  <c r="AP21" i="39"/>
  <c r="AP20" i="39"/>
  <c r="AP19" i="39"/>
  <c r="AP18" i="39"/>
  <c r="AP17" i="39"/>
  <c r="AP16" i="39"/>
  <c r="AP14" i="39"/>
  <c r="AP13" i="39"/>
  <c r="AP12" i="39"/>
  <c r="AP11" i="39"/>
  <c r="AR11" i="39" s="1"/>
  <c r="AP10" i="39"/>
  <c r="AP9" i="39"/>
  <c r="AP8" i="39"/>
  <c r="AP7" i="39"/>
  <c r="AR7" i="39" s="1"/>
  <c r="C36" i="40" l="1"/>
  <c r="AR19" i="39"/>
  <c r="AR15" i="40"/>
  <c r="C30" i="40"/>
  <c r="C36" i="39"/>
  <c r="AR15" i="39"/>
  <c r="C33" i="39"/>
  <c r="AR11" i="40"/>
  <c r="AP22" i="37"/>
  <c r="AP21" i="37"/>
  <c r="AP20" i="37"/>
  <c r="AR19" i="37"/>
  <c r="AP19" i="37"/>
  <c r="AI12" i="37"/>
  <c r="AP12" i="37" s="1"/>
  <c r="AR11" i="37"/>
  <c r="AP11" i="37"/>
  <c r="AP10" i="37"/>
  <c r="AI9" i="37"/>
  <c r="AP9" i="37" s="1"/>
  <c r="AP8" i="37"/>
  <c r="AI8" i="37"/>
  <c r="AR7" i="37"/>
  <c r="AP7" i="37"/>
  <c r="AI13" i="37" l="1"/>
  <c r="AP13" i="37" s="1"/>
  <c r="AI14" i="37"/>
  <c r="AP14" i="37" s="1"/>
  <c r="AP22" i="35" l="1"/>
  <c r="AP21" i="35"/>
  <c r="AP20" i="35"/>
  <c r="AP19" i="35"/>
  <c r="AP18" i="35"/>
  <c r="AP17" i="35"/>
  <c r="AP16" i="35"/>
  <c r="AP15" i="35"/>
  <c r="AP14" i="35"/>
  <c r="AP13" i="35"/>
  <c r="AP12" i="35"/>
  <c r="AP11" i="35"/>
  <c r="AP10" i="35"/>
  <c r="AP9" i="35"/>
  <c r="AP8" i="35"/>
  <c r="AP7" i="35"/>
  <c r="AR19" i="35" l="1"/>
  <c r="AR7" i="35"/>
  <c r="AR11" i="35"/>
  <c r="AR15" i="35"/>
  <c r="D27" i="23"/>
  <c r="D30" i="23"/>
  <c r="AP8" i="23"/>
  <c r="AP9" i="23"/>
  <c r="AP10" i="23"/>
  <c r="AP7" i="23"/>
  <c r="D23" i="24"/>
  <c r="D23" i="48" l="1"/>
  <c r="D24" i="48"/>
  <c r="AP7" i="51" l="1"/>
  <c r="AR7" i="51" s="1"/>
  <c r="E37" i="64"/>
  <c r="E36" i="64"/>
  <c r="D36" i="64"/>
  <c r="E35" i="64"/>
  <c r="E34" i="64"/>
  <c r="E33" i="64"/>
  <c r="D33" i="64"/>
  <c r="E32" i="64"/>
  <c r="E31" i="64"/>
  <c r="E30" i="64"/>
  <c r="D30" i="64"/>
  <c r="E29" i="64"/>
  <c r="E28" i="64"/>
  <c r="E27" i="64"/>
  <c r="D27" i="64"/>
  <c r="T24" i="64"/>
  <c r="N24" i="64"/>
  <c r="G24" i="64"/>
  <c r="D24" i="64"/>
  <c r="T23" i="64"/>
  <c r="C36" i="64" s="1"/>
  <c r="N23" i="64"/>
  <c r="C33" i="64" s="1"/>
  <c r="G23" i="64"/>
  <c r="C30" i="64" s="1"/>
  <c r="D23" i="64"/>
  <c r="C27" i="64" s="1"/>
  <c r="E37" i="62"/>
  <c r="E36" i="62"/>
  <c r="D36" i="62"/>
  <c r="E35" i="62"/>
  <c r="E34" i="62"/>
  <c r="E33" i="62"/>
  <c r="D33" i="62"/>
  <c r="E32" i="62"/>
  <c r="E31" i="62"/>
  <c r="E30" i="62"/>
  <c r="D30" i="62"/>
  <c r="E29" i="62"/>
  <c r="E28" i="62"/>
  <c r="E27" i="62"/>
  <c r="D27" i="62"/>
  <c r="T24" i="62"/>
  <c r="N24" i="62"/>
  <c r="G24" i="62"/>
  <c r="D24" i="62"/>
  <c r="T23" i="62"/>
  <c r="N23" i="62"/>
  <c r="C33" i="62" s="1"/>
  <c r="G23" i="62"/>
  <c r="C30" i="62" s="1"/>
  <c r="D23" i="62"/>
  <c r="C27" i="62" s="1"/>
  <c r="E37" i="61"/>
  <c r="E36" i="61"/>
  <c r="D36" i="61"/>
  <c r="E35" i="61"/>
  <c r="E34" i="61"/>
  <c r="E33" i="61"/>
  <c r="D33" i="61"/>
  <c r="E32" i="61"/>
  <c r="E31" i="61"/>
  <c r="E30" i="61"/>
  <c r="D30" i="61"/>
  <c r="E29" i="61"/>
  <c r="E28" i="61"/>
  <c r="E27" i="61"/>
  <c r="D27" i="61"/>
  <c r="T24" i="61"/>
  <c r="N24" i="61"/>
  <c r="G24" i="61"/>
  <c r="D24" i="61"/>
  <c r="T23" i="61"/>
  <c r="C36" i="61" s="1"/>
  <c r="N23" i="61"/>
  <c r="G23" i="61"/>
  <c r="C30" i="61" s="1"/>
  <c r="D23" i="61"/>
  <c r="C27" i="61" s="1"/>
  <c r="E37" i="60"/>
  <c r="E36" i="60"/>
  <c r="D36" i="60"/>
  <c r="E35" i="60"/>
  <c r="E34" i="60"/>
  <c r="E33" i="60"/>
  <c r="D33" i="60"/>
  <c r="E32" i="60"/>
  <c r="E31" i="60"/>
  <c r="E30" i="60"/>
  <c r="D30" i="60"/>
  <c r="E29" i="60"/>
  <c r="E28" i="60"/>
  <c r="E27" i="60"/>
  <c r="D27" i="60"/>
  <c r="T24" i="60"/>
  <c r="N24" i="60"/>
  <c r="G24" i="60"/>
  <c r="D24" i="60"/>
  <c r="T23" i="60"/>
  <c r="N23" i="60"/>
  <c r="G23" i="60"/>
  <c r="D23" i="60"/>
  <c r="C27" i="60" s="1"/>
  <c r="E37" i="55"/>
  <c r="E36" i="55"/>
  <c r="D36" i="55"/>
  <c r="E35" i="55"/>
  <c r="E34" i="55"/>
  <c r="E33" i="55"/>
  <c r="D33" i="55"/>
  <c r="E32" i="55"/>
  <c r="E31" i="55"/>
  <c r="E30" i="55"/>
  <c r="D30" i="55"/>
  <c r="E29" i="55"/>
  <c r="E28" i="55"/>
  <c r="E27" i="55"/>
  <c r="D27" i="55"/>
  <c r="T24" i="55"/>
  <c r="N24" i="55"/>
  <c r="G24" i="55"/>
  <c r="D24" i="55"/>
  <c r="T23" i="55"/>
  <c r="N23" i="55"/>
  <c r="G23" i="55"/>
  <c r="D23" i="55"/>
  <c r="E37" i="54"/>
  <c r="E36" i="54"/>
  <c r="D36" i="54"/>
  <c r="E35" i="54"/>
  <c r="E34" i="54"/>
  <c r="E33" i="54"/>
  <c r="D33" i="54"/>
  <c r="E32" i="54"/>
  <c r="E31" i="54"/>
  <c r="E30" i="54"/>
  <c r="D30" i="54"/>
  <c r="E29" i="54"/>
  <c r="E28" i="54"/>
  <c r="E27" i="54"/>
  <c r="D27" i="54"/>
  <c r="T24" i="54"/>
  <c r="N24" i="54"/>
  <c r="G24" i="54"/>
  <c r="D24" i="54"/>
  <c r="T23" i="54"/>
  <c r="N23" i="54"/>
  <c r="G23" i="54"/>
  <c r="D23" i="54"/>
  <c r="E37" i="53"/>
  <c r="E36" i="53"/>
  <c r="D36" i="53"/>
  <c r="E35" i="53"/>
  <c r="E34" i="53"/>
  <c r="E33" i="53"/>
  <c r="D33" i="53"/>
  <c r="E32" i="53"/>
  <c r="E31" i="53"/>
  <c r="E30" i="53"/>
  <c r="D30" i="53"/>
  <c r="E29" i="53"/>
  <c r="E28" i="53"/>
  <c r="E27" i="53"/>
  <c r="D27" i="53"/>
  <c r="T24" i="53"/>
  <c r="N24" i="53"/>
  <c r="G24" i="53"/>
  <c r="D24" i="53"/>
  <c r="T23" i="53"/>
  <c r="C36" i="53" s="1"/>
  <c r="N23" i="53"/>
  <c r="G23" i="53"/>
  <c r="D23" i="53"/>
  <c r="E37" i="52"/>
  <c r="E36" i="52"/>
  <c r="D36" i="52"/>
  <c r="E35" i="52"/>
  <c r="E34" i="52"/>
  <c r="E33" i="52"/>
  <c r="D33" i="52"/>
  <c r="E32" i="52"/>
  <c r="E31" i="52"/>
  <c r="E30" i="52"/>
  <c r="D30" i="52"/>
  <c r="E29" i="52"/>
  <c r="E28" i="52"/>
  <c r="E27" i="52"/>
  <c r="D27" i="52"/>
  <c r="T24" i="52"/>
  <c r="N24" i="52"/>
  <c r="G24" i="52"/>
  <c r="D24" i="52"/>
  <c r="T23" i="52"/>
  <c r="C36" i="52" s="1"/>
  <c r="N23" i="52"/>
  <c r="C33" i="52" s="1"/>
  <c r="G23" i="52"/>
  <c r="C30" i="52" s="1"/>
  <c r="D23" i="52"/>
  <c r="C27" i="52" s="1"/>
  <c r="E37" i="51"/>
  <c r="E36" i="51"/>
  <c r="D36" i="51"/>
  <c r="E35" i="51"/>
  <c r="E34" i="51"/>
  <c r="E33" i="51"/>
  <c r="D33" i="51"/>
  <c r="E32" i="51"/>
  <c r="E31" i="51"/>
  <c r="E30" i="51"/>
  <c r="D30" i="51"/>
  <c r="E29" i="51"/>
  <c r="E28" i="51"/>
  <c r="E27" i="51"/>
  <c r="D27" i="51"/>
  <c r="T24" i="51"/>
  <c r="N24" i="51"/>
  <c r="G24" i="51"/>
  <c r="D24" i="51"/>
  <c r="T23" i="51"/>
  <c r="C36" i="51" s="1"/>
  <c r="N23" i="51"/>
  <c r="C33" i="51" s="1"/>
  <c r="G23" i="51"/>
  <c r="C30" i="51" s="1"/>
  <c r="D23" i="51"/>
  <c r="C27" i="51" s="1"/>
  <c r="E37" i="50"/>
  <c r="E36" i="50"/>
  <c r="D36" i="50"/>
  <c r="E35" i="50"/>
  <c r="E34" i="50"/>
  <c r="E33" i="50"/>
  <c r="D33" i="50"/>
  <c r="E32" i="50"/>
  <c r="E31" i="50"/>
  <c r="E30" i="50"/>
  <c r="D30" i="50"/>
  <c r="E29" i="50"/>
  <c r="E28" i="50"/>
  <c r="E27" i="50"/>
  <c r="D27" i="50"/>
  <c r="T24" i="50"/>
  <c r="N24" i="50"/>
  <c r="G24" i="50"/>
  <c r="D24" i="50"/>
  <c r="T23" i="50"/>
  <c r="N23" i="50"/>
  <c r="G23" i="50"/>
  <c r="C30" i="50" s="1"/>
  <c r="D23" i="50"/>
  <c r="C27" i="50" s="1"/>
  <c r="E37" i="49"/>
  <c r="E36" i="49"/>
  <c r="D36" i="49"/>
  <c r="E35" i="49"/>
  <c r="E34" i="49"/>
  <c r="E33" i="49"/>
  <c r="D33" i="49"/>
  <c r="E32" i="49"/>
  <c r="E31" i="49"/>
  <c r="E30" i="49"/>
  <c r="D30" i="49"/>
  <c r="E29" i="49"/>
  <c r="E28" i="49"/>
  <c r="E27" i="49"/>
  <c r="D27" i="49"/>
  <c r="T24" i="49"/>
  <c r="N24" i="49"/>
  <c r="G24" i="49"/>
  <c r="D24" i="49"/>
  <c r="T23" i="49"/>
  <c r="N23" i="49"/>
  <c r="G23" i="49"/>
  <c r="C30" i="49" s="1"/>
  <c r="D23" i="49"/>
  <c r="C27" i="49" s="1"/>
  <c r="E37" i="47"/>
  <c r="E36" i="47"/>
  <c r="D36" i="47"/>
  <c r="E35" i="47"/>
  <c r="E34" i="47"/>
  <c r="E33" i="47"/>
  <c r="D33" i="47"/>
  <c r="E32" i="47"/>
  <c r="E31" i="47"/>
  <c r="E30" i="47"/>
  <c r="D30" i="47"/>
  <c r="E29" i="47"/>
  <c r="E28" i="47"/>
  <c r="E27" i="47"/>
  <c r="D27" i="47"/>
  <c r="T24" i="47"/>
  <c r="N24" i="47"/>
  <c r="G24" i="47"/>
  <c r="D24" i="47"/>
  <c r="T23" i="47"/>
  <c r="N23" i="47"/>
  <c r="G23" i="47"/>
  <c r="D23" i="47"/>
  <c r="C27" i="47" s="1"/>
  <c r="E37" i="46"/>
  <c r="E36" i="46"/>
  <c r="D36" i="46"/>
  <c r="E35" i="46"/>
  <c r="E34" i="46"/>
  <c r="E33" i="46"/>
  <c r="D33" i="46"/>
  <c r="E32" i="46"/>
  <c r="E31" i="46"/>
  <c r="E30" i="46"/>
  <c r="D30" i="46"/>
  <c r="E29" i="46"/>
  <c r="E28" i="46"/>
  <c r="E27" i="46"/>
  <c r="D27" i="46"/>
  <c r="T24" i="46"/>
  <c r="N24" i="46"/>
  <c r="G24" i="46"/>
  <c r="D24" i="46"/>
  <c r="T23" i="46"/>
  <c r="N23" i="46"/>
  <c r="G23" i="46"/>
  <c r="D23" i="46"/>
  <c r="C27" i="46" s="1"/>
  <c r="E37" i="45"/>
  <c r="E36" i="45"/>
  <c r="D36" i="45"/>
  <c r="E35" i="45"/>
  <c r="E34" i="45"/>
  <c r="E33" i="45"/>
  <c r="D33" i="45"/>
  <c r="E32" i="45"/>
  <c r="E31" i="45"/>
  <c r="E30" i="45"/>
  <c r="D30" i="45"/>
  <c r="E29" i="45"/>
  <c r="E28" i="45"/>
  <c r="E27" i="45"/>
  <c r="D27" i="45"/>
  <c r="T24" i="45"/>
  <c r="N24" i="45"/>
  <c r="G24" i="45"/>
  <c r="D24" i="45"/>
  <c r="T23" i="45"/>
  <c r="N23" i="45"/>
  <c r="G23" i="45"/>
  <c r="D23" i="45"/>
  <c r="E37" i="44"/>
  <c r="E36" i="44"/>
  <c r="D36" i="44"/>
  <c r="E35" i="44"/>
  <c r="E34" i="44"/>
  <c r="E33" i="44"/>
  <c r="D33" i="44"/>
  <c r="E32" i="44"/>
  <c r="E31" i="44"/>
  <c r="E30" i="44"/>
  <c r="D30" i="44"/>
  <c r="E29" i="44"/>
  <c r="E28" i="44"/>
  <c r="E27" i="44"/>
  <c r="D27" i="44"/>
  <c r="T24" i="44"/>
  <c r="N24" i="44"/>
  <c r="G24" i="44"/>
  <c r="D24" i="44"/>
  <c r="T23" i="44"/>
  <c r="C36" i="44" s="1"/>
  <c r="N23" i="44"/>
  <c r="G23" i="44"/>
  <c r="D23" i="44"/>
  <c r="E37" i="43"/>
  <c r="E36" i="43"/>
  <c r="D36" i="43"/>
  <c r="E35" i="43"/>
  <c r="E34" i="43"/>
  <c r="E33" i="43"/>
  <c r="D33" i="43"/>
  <c r="E32" i="43"/>
  <c r="E31" i="43"/>
  <c r="E30" i="43"/>
  <c r="D30" i="43"/>
  <c r="E29" i="43"/>
  <c r="E28" i="43"/>
  <c r="E27" i="43"/>
  <c r="D27" i="43"/>
  <c r="T24" i="43"/>
  <c r="N24" i="43"/>
  <c r="G24" i="43"/>
  <c r="D24" i="43"/>
  <c r="T23" i="43"/>
  <c r="C36" i="43" s="1"/>
  <c r="N23" i="43"/>
  <c r="C33" i="43" s="1"/>
  <c r="G23" i="43"/>
  <c r="C30" i="43" s="1"/>
  <c r="D23" i="43"/>
  <c r="E37" i="37"/>
  <c r="E36" i="37"/>
  <c r="D36" i="37"/>
  <c r="E35" i="37"/>
  <c r="E34" i="37"/>
  <c r="E33" i="37"/>
  <c r="D33" i="37"/>
  <c r="E32" i="37"/>
  <c r="E31" i="37"/>
  <c r="E30" i="37"/>
  <c r="D30" i="37"/>
  <c r="E29" i="37"/>
  <c r="E28" i="37"/>
  <c r="E27" i="37"/>
  <c r="D27" i="37"/>
  <c r="T24" i="37"/>
  <c r="N24" i="37"/>
  <c r="G24" i="37"/>
  <c r="T23" i="37"/>
  <c r="C36" i="37" s="1"/>
  <c r="N23" i="37"/>
  <c r="C33" i="37" s="1"/>
  <c r="G23" i="37"/>
  <c r="C30" i="37" s="1"/>
  <c r="C27" i="37"/>
  <c r="E37" i="35"/>
  <c r="E36" i="35"/>
  <c r="D36" i="35"/>
  <c r="E35" i="35"/>
  <c r="E34" i="35"/>
  <c r="E33" i="35"/>
  <c r="D33" i="35"/>
  <c r="E32" i="35"/>
  <c r="E31" i="35"/>
  <c r="E30" i="35"/>
  <c r="D30" i="35"/>
  <c r="E29" i="35"/>
  <c r="E28" i="35"/>
  <c r="E27" i="35"/>
  <c r="D27" i="35"/>
  <c r="T24" i="35"/>
  <c r="N24" i="35"/>
  <c r="G24" i="35"/>
  <c r="D24" i="35"/>
  <c r="T23" i="35"/>
  <c r="N23" i="35"/>
  <c r="G23" i="35"/>
  <c r="C30" i="35" s="1"/>
  <c r="D23" i="35"/>
  <c r="C27" i="35" s="1"/>
  <c r="E37" i="28"/>
  <c r="E36" i="28"/>
  <c r="D36" i="28"/>
  <c r="E35" i="28"/>
  <c r="E34" i="28"/>
  <c r="E33" i="28"/>
  <c r="D33" i="28"/>
  <c r="E32" i="28"/>
  <c r="E31" i="28"/>
  <c r="E30" i="28"/>
  <c r="D30" i="28"/>
  <c r="E29" i="28"/>
  <c r="E28" i="28"/>
  <c r="E27" i="28"/>
  <c r="D27" i="28"/>
  <c r="T23" i="28"/>
  <c r="C36" i="28" s="1"/>
  <c r="N23" i="28"/>
  <c r="C33" i="28" s="1"/>
  <c r="G23" i="28"/>
  <c r="C30" i="28" s="1"/>
  <c r="D23" i="28"/>
  <c r="C27" i="28" s="1"/>
  <c r="E37" i="27"/>
  <c r="E36" i="27"/>
  <c r="D36" i="27"/>
  <c r="E35" i="27"/>
  <c r="E34" i="27"/>
  <c r="E33" i="27"/>
  <c r="D33" i="27"/>
  <c r="E32" i="27"/>
  <c r="E31" i="27"/>
  <c r="E30" i="27"/>
  <c r="D30" i="27"/>
  <c r="E29" i="27"/>
  <c r="E28" i="27"/>
  <c r="E27" i="27"/>
  <c r="D27" i="27"/>
  <c r="T24" i="27"/>
  <c r="N24" i="27"/>
  <c r="G24" i="27"/>
  <c r="D24" i="27"/>
  <c r="T23" i="27"/>
  <c r="N23" i="27"/>
  <c r="G23" i="27"/>
  <c r="D23" i="27"/>
  <c r="E37" i="25"/>
  <c r="E36" i="25"/>
  <c r="D36" i="25"/>
  <c r="E35" i="25"/>
  <c r="E34" i="25"/>
  <c r="E33" i="25"/>
  <c r="D33" i="25"/>
  <c r="E32" i="25"/>
  <c r="E31" i="25"/>
  <c r="E30" i="25"/>
  <c r="D30" i="25"/>
  <c r="E29" i="25"/>
  <c r="E28" i="25"/>
  <c r="E27" i="25"/>
  <c r="D27" i="25"/>
  <c r="T24" i="25"/>
  <c r="N24" i="25"/>
  <c r="G24" i="25"/>
  <c r="D24" i="25"/>
  <c r="T23" i="25"/>
  <c r="N23" i="25"/>
  <c r="C33" i="25" s="1"/>
  <c r="G23" i="25"/>
  <c r="C30" i="25" s="1"/>
  <c r="D23" i="25"/>
  <c r="E37" i="24"/>
  <c r="E36" i="24"/>
  <c r="D36" i="24"/>
  <c r="E35" i="24"/>
  <c r="E34" i="24"/>
  <c r="E33" i="24"/>
  <c r="D33" i="24"/>
  <c r="E32" i="24"/>
  <c r="E31" i="24"/>
  <c r="E30" i="24"/>
  <c r="D30" i="24"/>
  <c r="E29" i="24"/>
  <c r="E28" i="24"/>
  <c r="E27" i="24"/>
  <c r="D27" i="24"/>
  <c r="T24" i="24"/>
  <c r="N24" i="24"/>
  <c r="G24" i="24"/>
  <c r="D24" i="24"/>
  <c r="T23" i="24"/>
  <c r="N23" i="24"/>
  <c r="G23" i="24"/>
  <c r="C30" i="24" s="1"/>
  <c r="C27" i="24"/>
  <c r="E37" i="23"/>
  <c r="E36" i="23"/>
  <c r="D36" i="23"/>
  <c r="E35" i="23"/>
  <c r="E34" i="23"/>
  <c r="E33" i="23"/>
  <c r="D33" i="23"/>
  <c r="E32" i="23"/>
  <c r="E31" i="23"/>
  <c r="E30" i="23"/>
  <c r="E29" i="23"/>
  <c r="E28" i="23"/>
  <c r="E27" i="23"/>
  <c r="T24" i="23"/>
  <c r="N24" i="23"/>
  <c r="G24" i="23"/>
  <c r="D24" i="23"/>
  <c r="T23" i="23"/>
  <c r="C36" i="23" s="1"/>
  <c r="N23" i="23"/>
  <c r="G23" i="23"/>
  <c r="D23" i="23"/>
  <c r="E37" i="21"/>
  <c r="E36" i="21"/>
  <c r="D36" i="21"/>
  <c r="E35" i="21"/>
  <c r="E34" i="21"/>
  <c r="E33" i="21"/>
  <c r="D33" i="21"/>
  <c r="E32" i="21"/>
  <c r="E31" i="21"/>
  <c r="E30" i="21"/>
  <c r="D30" i="21"/>
  <c r="E29" i="21"/>
  <c r="E28" i="21"/>
  <c r="E27" i="21"/>
  <c r="D27" i="21"/>
  <c r="T24" i="21"/>
  <c r="N24" i="21"/>
  <c r="G24" i="21"/>
  <c r="D24" i="21"/>
  <c r="T23" i="21"/>
  <c r="N23" i="21"/>
  <c r="G23" i="21"/>
  <c r="D23" i="21"/>
  <c r="C27" i="21" s="1"/>
  <c r="G23" i="20"/>
  <c r="T23" i="20"/>
  <c r="C36" i="20" s="1"/>
  <c r="N23" i="20"/>
  <c r="D23" i="20"/>
  <c r="T24" i="20"/>
  <c r="N24" i="20"/>
  <c r="G24" i="20"/>
  <c r="D24" i="20"/>
  <c r="C30" i="20"/>
  <c r="E37" i="20"/>
  <c r="E36" i="20"/>
  <c r="D36" i="20"/>
  <c r="E35" i="20"/>
  <c r="E34" i="20"/>
  <c r="E33" i="20"/>
  <c r="D33" i="20"/>
  <c r="E32" i="20"/>
  <c r="E31" i="20"/>
  <c r="E30" i="20"/>
  <c r="D30" i="20"/>
  <c r="E29" i="20"/>
  <c r="E28" i="20"/>
  <c r="E27" i="20"/>
  <c r="D27" i="20"/>
  <c r="T23" i="18"/>
  <c r="N23" i="18"/>
  <c r="G23" i="18"/>
  <c r="D23" i="18"/>
  <c r="T24" i="18"/>
  <c r="N24" i="18"/>
  <c r="C33" i="18" s="1"/>
  <c r="G24" i="18"/>
  <c r="D24" i="18"/>
  <c r="C36" i="18"/>
  <c r="E28" i="18"/>
  <c r="E29" i="18"/>
  <c r="E30" i="18"/>
  <c r="E31" i="18"/>
  <c r="E32" i="18"/>
  <c r="E33" i="18"/>
  <c r="E34" i="18"/>
  <c r="E35" i="18"/>
  <c r="E36" i="18"/>
  <c r="E37" i="18"/>
  <c r="E37" i="66"/>
  <c r="E36" i="66"/>
  <c r="D36" i="66"/>
  <c r="C36" i="66"/>
  <c r="E35" i="66"/>
  <c r="E34" i="66"/>
  <c r="E33" i="66"/>
  <c r="D33" i="66"/>
  <c r="C33" i="66"/>
  <c r="E32" i="66"/>
  <c r="E31" i="66"/>
  <c r="E30" i="66"/>
  <c r="D30" i="66"/>
  <c r="C30" i="66"/>
  <c r="E29" i="66"/>
  <c r="E28" i="66"/>
  <c r="E27" i="66"/>
  <c r="D27" i="66"/>
  <c r="C27" i="66"/>
  <c r="T24" i="17"/>
  <c r="T23" i="17"/>
  <c r="N24" i="17"/>
  <c r="N23" i="17"/>
  <c r="G24" i="17"/>
  <c r="G23" i="17"/>
  <c r="E28" i="17"/>
  <c r="E29" i="17"/>
  <c r="E30" i="17"/>
  <c r="E31" i="17"/>
  <c r="E32" i="17"/>
  <c r="E33" i="17"/>
  <c r="E34" i="17"/>
  <c r="E35" i="17"/>
  <c r="E36" i="17"/>
  <c r="E37" i="17"/>
  <c r="D23" i="17"/>
  <c r="D24" i="17"/>
  <c r="E28" i="11"/>
  <c r="E29" i="11"/>
  <c r="E30" i="11"/>
  <c r="E31" i="11"/>
  <c r="E32" i="11"/>
  <c r="E33" i="11"/>
  <c r="E34" i="11"/>
  <c r="E35" i="11"/>
  <c r="E36" i="11"/>
  <c r="E37" i="11"/>
  <c r="E28" i="10"/>
  <c r="E29" i="10"/>
  <c r="E30" i="10"/>
  <c r="E31" i="10"/>
  <c r="E32" i="10"/>
  <c r="E33" i="10"/>
  <c r="E34" i="10"/>
  <c r="E35" i="10"/>
  <c r="E36" i="10"/>
  <c r="E37" i="10"/>
  <c r="E28" i="9"/>
  <c r="E29" i="9"/>
  <c r="E30" i="9"/>
  <c r="E31" i="9"/>
  <c r="E32" i="9"/>
  <c r="E33" i="9"/>
  <c r="E34" i="9"/>
  <c r="E35" i="9"/>
  <c r="E36" i="9"/>
  <c r="E37" i="9"/>
  <c r="E28" i="8"/>
  <c r="E29" i="8"/>
  <c r="E30" i="8"/>
  <c r="E31" i="8"/>
  <c r="E32" i="8"/>
  <c r="E33" i="8"/>
  <c r="E34" i="8"/>
  <c r="E35" i="8"/>
  <c r="E36" i="8"/>
  <c r="E37" i="8"/>
  <c r="E27" i="8"/>
  <c r="AP18" i="8"/>
  <c r="E31" i="7"/>
  <c r="E32" i="7"/>
  <c r="E33" i="7"/>
  <c r="E34" i="7"/>
  <c r="E35" i="7"/>
  <c r="E36" i="7"/>
  <c r="E37" i="7"/>
  <c r="E28" i="7"/>
  <c r="E29" i="7"/>
  <c r="C36" i="7"/>
  <c r="C33" i="7"/>
  <c r="C30" i="7"/>
  <c r="C27" i="7"/>
  <c r="C35" i="6"/>
  <c r="C31" i="6"/>
  <c r="D27" i="6"/>
  <c r="C27" i="6"/>
  <c r="E28" i="6"/>
  <c r="E29" i="6"/>
  <c r="E30" i="6"/>
  <c r="AP10" i="5"/>
  <c r="AR7" i="5" s="1"/>
  <c r="E28" i="5"/>
  <c r="E29" i="5"/>
  <c r="E30" i="5"/>
  <c r="E31" i="5"/>
  <c r="E32" i="5"/>
  <c r="E33" i="5"/>
  <c r="E34" i="5"/>
  <c r="E35" i="5"/>
  <c r="E36" i="5"/>
  <c r="E37" i="5"/>
  <c r="E31" i="4"/>
  <c r="E32" i="4"/>
  <c r="E33" i="4"/>
  <c r="E34" i="4"/>
  <c r="E35" i="4"/>
  <c r="E36" i="4"/>
  <c r="E37" i="4"/>
  <c r="E28" i="4"/>
  <c r="E29" i="4"/>
  <c r="C36" i="50" l="1"/>
  <c r="C36" i="24"/>
  <c r="C36" i="60"/>
  <c r="C36" i="62"/>
  <c r="C36" i="35"/>
  <c r="C33" i="60"/>
  <c r="C33" i="61"/>
  <c r="C30" i="18"/>
  <c r="C27" i="18"/>
  <c r="C27" i="20"/>
  <c r="C27" i="23"/>
  <c r="C33" i="23"/>
  <c r="C33" i="24"/>
  <c r="C33" i="35"/>
  <c r="C30" i="47"/>
  <c r="C30" i="60"/>
  <c r="C27" i="55"/>
  <c r="C36" i="25"/>
  <c r="C33" i="20"/>
  <c r="C36" i="55"/>
  <c r="C30" i="55"/>
  <c r="C33" i="55"/>
  <c r="C33" i="47"/>
  <c r="C36" i="47"/>
  <c r="C30" i="46"/>
  <c r="C33" i="46"/>
  <c r="C36" i="46"/>
  <c r="C27" i="45"/>
  <c r="C30" i="45"/>
  <c r="C33" i="45"/>
  <c r="C36" i="45"/>
  <c r="C27" i="44"/>
  <c r="C30" i="44"/>
  <c r="C33" i="44"/>
  <c r="C27" i="43"/>
  <c r="C30" i="21"/>
  <c r="C33" i="21"/>
  <c r="C36" i="21"/>
  <c r="C27" i="54"/>
  <c r="C30" i="54"/>
  <c r="C33" i="54"/>
  <c r="C36" i="54"/>
  <c r="C27" i="53"/>
  <c r="C30" i="53"/>
  <c r="C33" i="53"/>
  <c r="C27" i="25"/>
  <c r="C36" i="27"/>
  <c r="C33" i="49"/>
  <c r="C36" i="49"/>
  <c r="C27" i="27"/>
  <c r="C30" i="27"/>
  <c r="C33" i="27"/>
  <c r="C30" i="23"/>
  <c r="C33" i="50"/>
  <c r="AP22" i="66"/>
  <c r="AP21" i="66"/>
  <c r="AP20" i="66"/>
  <c r="AR19" i="66"/>
  <c r="AP19" i="66"/>
  <c r="AR15" i="66"/>
  <c r="AP14" i="66"/>
  <c r="AR11" i="66"/>
  <c r="AP11" i="66"/>
  <c r="AP13" i="66" s="1"/>
  <c r="D36" i="4" l="1"/>
  <c r="E27" i="4"/>
  <c r="D36" i="18"/>
  <c r="D33" i="18"/>
  <c r="D30" i="18"/>
  <c r="E27" i="18"/>
  <c r="D27" i="18"/>
  <c r="D36" i="17"/>
  <c r="C36" i="17"/>
  <c r="D33" i="17"/>
  <c r="C33" i="17"/>
  <c r="D30" i="17"/>
  <c r="C30" i="17"/>
  <c r="E27" i="17"/>
  <c r="D27" i="17"/>
  <c r="C27" i="17"/>
  <c r="D36" i="11"/>
  <c r="C36" i="11"/>
  <c r="D33" i="11"/>
  <c r="C33" i="11"/>
  <c r="D30" i="11"/>
  <c r="C30" i="11"/>
  <c r="E27" i="11"/>
  <c r="D27" i="11"/>
  <c r="C27" i="11"/>
  <c r="D36" i="10"/>
  <c r="C36" i="10"/>
  <c r="D33" i="10"/>
  <c r="C33" i="10"/>
  <c r="D30" i="10"/>
  <c r="C30" i="10"/>
  <c r="E27" i="10"/>
  <c r="D27" i="10"/>
  <c r="C27" i="10"/>
  <c r="D36" i="9"/>
  <c r="C36" i="9"/>
  <c r="D33" i="9"/>
  <c r="C33" i="9"/>
  <c r="D30" i="9"/>
  <c r="C30" i="9"/>
  <c r="E27" i="9"/>
  <c r="D27" i="9"/>
  <c r="C27" i="9"/>
  <c r="D36" i="8"/>
  <c r="C36" i="8"/>
  <c r="D33" i="8"/>
  <c r="C33" i="8"/>
  <c r="D30" i="8"/>
  <c r="C30" i="8"/>
  <c r="D27" i="8"/>
  <c r="C27" i="8"/>
  <c r="C28" i="6"/>
  <c r="C29" i="6"/>
  <c r="C30" i="6"/>
  <c r="AP22" i="11" l="1"/>
  <c r="AP21" i="11"/>
  <c r="AP20" i="11"/>
  <c r="AP19" i="11"/>
  <c r="AP18" i="11"/>
  <c r="AP17" i="11"/>
  <c r="AP16" i="11"/>
  <c r="AR15" i="11" s="1"/>
  <c r="AP15" i="11"/>
  <c r="AP13" i="11"/>
  <c r="AP12" i="11"/>
  <c r="AP11" i="11"/>
  <c r="AR11" i="11" s="1"/>
  <c r="AP10" i="11"/>
  <c r="AP7" i="11"/>
  <c r="AR7" i="11" s="1"/>
  <c r="AP22" i="10"/>
  <c r="AP21" i="10"/>
  <c r="AP20" i="10"/>
  <c r="AP19" i="10"/>
  <c r="AP18" i="10"/>
  <c r="AP17" i="10"/>
  <c r="AP16" i="10"/>
  <c r="AR15" i="10" s="1"/>
  <c r="AP13" i="10"/>
  <c r="AR11" i="10" s="1"/>
  <c r="AP10" i="10"/>
  <c r="AP9" i="10"/>
  <c r="AP8" i="10"/>
  <c r="AP22" i="9"/>
  <c r="AP21" i="9"/>
  <c r="AP20" i="9"/>
  <c r="AP19" i="9"/>
  <c r="AR19" i="9" s="1"/>
  <c r="AP18" i="9"/>
  <c r="AP17" i="9"/>
  <c r="AP16" i="9"/>
  <c r="AR15" i="9" s="1"/>
  <c r="AP15" i="9"/>
  <c r="AP11" i="9"/>
  <c r="AR11" i="9" s="1"/>
  <c r="AP10" i="9"/>
  <c r="AR7" i="9"/>
  <c r="AP22" i="8"/>
  <c r="AP21" i="8"/>
  <c r="AP20" i="8"/>
  <c r="AP19" i="8"/>
  <c r="AP17" i="8"/>
  <c r="AP16" i="8"/>
  <c r="AP15" i="8"/>
  <c r="AP14" i="8"/>
  <c r="AP13" i="8"/>
  <c r="AP12" i="8"/>
  <c r="AP11" i="8"/>
  <c r="AP10" i="8"/>
  <c r="AP9" i="8"/>
  <c r="AP8" i="8"/>
  <c r="AP7" i="8"/>
  <c r="AR7" i="8" s="1"/>
  <c r="AR19" i="10" l="1"/>
  <c r="AR19" i="11"/>
  <c r="AR19" i="8"/>
  <c r="AR15" i="8"/>
  <c r="AR11" i="8"/>
  <c r="AR7" i="10"/>
  <c r="D36" i="7" l="1"/>
  <c r="D33" i="7"/>
  <c r="E30" i="7"/>
  <c r="D30" i="7"/>
  <c r="E27" i="7"/>
  <c r="D27" i="7"/>
  <c r="E27" i="6"/>
  <c r="D31" i="6"/>
  <c r="E31" i="6"/>
  <c r="C32" i="6"/>
  <c r="D32" i="6"/>
  <c r="E32" i="6"/>
  <c r="C33" i="6"/>
  <c r="D33" i="6"/>
  <c r="E33" i="6"/>
  <c r="C34" i="6"/>
  <c r="D34" i="6"/>
  <c r="E34" i="6"/>
  <c r="D35" i="6"/>
  <c r="E35" i="6"/>
  <c r="C36" i="6"/>
  <c r="D36" i="6"/>
  <c r="E36" i="6"/>
  <c r="C37" i="6"/>
  <c r="D37" i="6"/>
  <c r="E37" i="6"/>
  <c r="D36" i="5"/>
  <c r="C36" i="5"/>
  <c r="D33" i="5"/>
  <c r="C33" i="5"/>
  <c r="D30" i="5"/>
  <c r="C30" i="5"/>
  <c r="E27" i="5"/>
  <c r="D27" i="5"/>
  <c r="C27" i="5"/>
  <c r="C36" i="4"/>
  <c r="C33" i="4"/>
  <c r="C30" i="4"/>
  <c r="D27" i="4"/>
  <c r="E30" i="4"/>
  <c r="D30" i="4"/>
  <c r="D33" i="4"/>
  <c r="C27" i="4"/>
  <c r="AP22" i="51" l="1"/>
  <c r="AP21" i="51"/>
  <c r="AP20" i="51"/>
  <c r="AP19" i="51"/>
  <c r="AP18" i="51"/>
  <c r="AP17" i="51"/>
  <c r="AP16" i="51"/>
  <c r="AP15" i="51"/>
  <c r="AR15" i="51" s="1"/>
  <c r="AP14" i="51"/>
  <c r="AP13" i="51"/>
  <c r="AP12" i="51"/>
  <c r="AP11" i="51"/>
  <c r="AR11" i="51" s="1"/>
  <c r="AP22" i="50"/>
  <c r="AP21" i="50"/>
  <c r="AP20" i="50"/>
  <c r="AP19" i="50"/>
  <c r="AP18" i="50"/>
  <c r="AP17" i="50"/>
  <c r="AP16" i="50"/>
  <c r="AP15" i="50"/>
  <c r="AP14" i="50"/>
  <c r="AP13" i="50"/>
  <c r="AP12" i="50"/>
  <c r="AR11" i="50"/>
  <c r="AP11" i="50"/>
  <c r="AP10" i="50"/>
  <c r="AP9" i="50"/>
  <c r="AP8" i="50"/>
  <c r="AP7" i="50"/>
  <c r="AR7" i="50" s="1"/>
  <c r="AR15" i="50" l="1"/>
  <c r="AR19" i="50"/>
  <c r="AR19" i="51"/>
  <c r="AP14" i="6"/>
  <c r="AR14" i="6" s="1"/>
  <c r="AP15" i="6"/>
  <c r="AP16" i="6"/>
  <c r="AP17" i="6"/>
  <c r="AR17" i="6" s="1"/>
  <c r="AP18" i="6"/>
  <c r="AP19" i="6"/>
  <c r="AP13" i="6"/>
  <c r="AP22" i="64" l="1"/>
  <c r="AP21" i="64"/>
  <c r="AP20" i="64"/>
  <c r="AP19" i="64"/>
  <c r="AP17" i="64"/>
  <c r="AP16" i="64"/>
  <c r="AP15" i="64"/>
  <c r="AR15" i="64" s="1"/>
  <c r="AP14" i="64"/>
  <c r="AP13" i="64"/>
  <c r="AP12" i="64"/>
  <c r="AP11" i="64"/>
  <c r="AR11" i="64" s="1"/>
  <c r="AP22" i="62"/>
  <c r="AP21" i="62"/>
  <c r="AP20" i="62"/>
  <c r="AP19" i="62"/>
  <c r="AP18" i="62"/>
  <c r="AP17" i="62"/>
  <c r="AP16" i="62"/>
  <c r="AP15" i="62"/>
  <c r="AP14" i="62"/>
  <c r="AP13" i="62"/>
  <c r="AP12" i="62"/>
  <c r="AP11" i="62"/>
  <c r="AP22" i="61"/>
  <c r="AP21" i="61"/>
  <c r="AP20" i="61"/>
  <c r="AP19" i="61"/>
  <c r="AP18" i="61"/>
  <c r="AP17" i="61"/>
  <c r="AP16" i="61"/>
  <c r="AP15" i="61"/>
  <c r="AP14" i="61"/>
  <c r="AP13" i="61"/>
  <c r="AP12" i="61"/>
  <c r="AP11" i="61"/>
  <c r="AP22" i="60"/>
  <c r="AP21" i="60"/>
  <c r="AP20" i="60"/>
  <c r="AP19" i="60"/>
  <c r="AP18" i="60"/>
  <c r="AP17" i="60"/>
  <c r="AP16" i="60"/>
  <c r="AP15" i="60"/>
  <c r="AP14" i="60"/>
  <c r="AP13" i="60"/>
  <c r="AP12" i="60"/>
  <c r="AP11" i="60"/>
  <c r="AP22" i="55"/>
  <c r="AP21" i="55"/>
  <c r="AP20" i="55"/>
  <c r="AP19" i="55"/>
  <c r="AP18" i="55"/>
  <c r="AP17" i="55"/>
  <c r="AP16" i="55"/>
  <c r="AP15" i="55"/>
  <c r="AP14" i="55"/>
  <c r="AP13" i="55"/>
  <c r="AR19" i="60" l="1"/>
  <c r="AR19" i="64"/>
  <c r="AR19" i="62"/>
  <c r="AR19" i="61"/>
  <c r="AR19" i="55"/>
  <c r="AR15" i="60"/>
  <c r="AR15" i="62"/>
  <c r="AR15" i="61"/>
  <c r="AR15" i="55"/>
  <c r="AR11" i="60"/>
  <c r="AR11" i="62"/>
  <c r="AR11" i="61"/>
  <c r="AR11" i="55"/>
  <c r="AP11" i="6"/>
  <c r="AP22" i="33"/>
  <c r="AP21" i="33"/>
  <c r="AP20" i="33"/>
  <c r="AP19" i="33"/>
  <c r="AR19" i="33" s="1"/>
  <c r="AP18" i="33"/>
  <c r="AP17" i="33"/>
  <c r="AP15" i="33"/>
  <c r="AR15" i="33" s="1"/>
  <c r="AP13" i="33"/>
  <c r="AP11" i="33"/>
  <c r="AR11" i="33" s="1"/>
  <c r="AP10" i="33"/>
  <c r="AP9" i="33"/>
  <c r="AP8" i="33"/>
  <c r="AP7" i="33"/>
  <c r="AR7" i="33" s="1"/>
  <c r="AP11" i="32"/>
  <c r="AP22" i="52"/>
  <c r="AP21" i="52"/>
  <c r="AP20" i="52"/>
  <c r="AP19" i="52"/>
  <c r="AR19" i="52" s="1"/>
  <c r="AP18" i="52"/>
  <c r="AP17" i="52"/>
  <c r="AP16" i="52"/>
  <c r="AP15" i="52"/>
  <c r="AP14" i="52"/>
  <c r="AP13" i="52"/>
  <c r="AP12" i="52"/>
  <c r="AP11" i="52"/>
  <c r="AP10" i="52"/>
  <c r="AP9" i="52"/>
  <c r="AP8" i="52"/>
  <c r="AP7" i="52"/>
  <c r="AP22" i="32"/>
  <c r="AP21" i="32"/>
  <c r="AP20" i="32"/>
  <c r="AP19" i="32"/>
  <c r="AP18" i="32"/>
  <c r="AP15" i="32"/>
  <c r="AP13" i="32"/>
  <c r="AP10" i="32"/>
  <c r="AP9" i="32"/>
  <c r="AP8" i="32"/>
  <c r="AP22" i="28"/>
  <c r="AP21" i="28"/>
  <c r="AP20" i="28"/>
  <c r="AP19" i="28"/>
  <c r="AR19" i="28" s="1"/>
  <c r="AR15" i="28"/>
  <c r="AP22" i="24"/>
  <c r="AP21" i="24"/>
  <c r="AP20" i="24"/>
  <c r="AP19" i="24"/>
  <c r="AP18" i="24"/>
  <c r="AP17" i="24"/>
  <c r="AP16" i="24"/>
  <c r="AP15" i="24"/>
  <c r="AP14" i="24"/>
  <c r="AP13" i="24"/>
  <c r="AP12" i="24"/>
  <c r="AP11" i="24"/>
  <c r="AP10" i="24"/>
  <c r="AP9" i="24"/>
  <c r="AP8" i="24"/>
  <c r="AP7" i="24"/>
  <c r="AP22" i="23"/>
  <c r="AP21" i="23"/>
  <c r="AP20" i="23"/>
  <c r="AP19" i="23"/>
  <c r="AP18" i="23"/>
  <c r="AP17" i="23"/>
  <c r="AP16" i="23"/>
  <c r="AP14" i="23"/>
  <c r="AP13" i="23"/>
  <c r="AP12" i="23"/>
  <c r="AP11" i="23"/>
  <c r="AP22" i="18"/>
  <c r="AP21" i="18"/>
  <c r="AP20" i="18"/>
  <c r="AR19" i="18"/>
  <c r="AP19" i="18"/>
  <c r="AP18" i="18"/>
  <c r="AP17" i="18"/>
  <c r="AP16" i="18"/>
  <c r="AP15" i="18"/>
  <c r="AP14" i="18"/>
  <c r="AP13" i="18"/>
  <c r="AP12" i="18"/>
  <c r="AP11" i="18"/>
  <c r="AP10" i="18"/>
  <c r="AP9" i="18"/>
  <c r="AP8" i="18"/>
  <c r="AP7" i="18"/>
  <c r="AP22" i="17"/>
  <c r="AP21" i="17"/>
  <c r="AP20" i="17"/>
  <c r="AP19" i="17"/>
  <c r="AP18" i="17"/>
  <c r="AP17" i="17"/>
  <c r="AP16" i="17"/>
  <c r="AP15" i="17"/>
  <c r="AP14" i="17"/>
  <c r="AP13" i="17"/>
  <c r="AP12" i="17"/>
  <c r="AP11" i="17"/>
  <c r="AP10" i="17"/>
  <c r="AP9" i="17"/>
  <c r="AP8" i="17"/>
  <c r="AP7" i="17"/>
  <c r="AR19" i="12"/>
  <c r="AP11" i="12"/>
  <c r="AP10" i="12"/>
  <c r="AP9" i="12"/>
  <c r="AP8" i="12"/>
  <c r="AP7" i="12"/>
  <c r="AP22" i="7"/>
  <c r="AP21" i="7"/>
  <c r="AP20" i="7"/>
  <c r="AP19" i="7"/>
  <c r="AP18" i="7"/>
  <c r="AP17" i="7"/>
  <c r="AP16" i="7"/>
  <c r="AP15" i="7"/>
  <c r="AP14" i="7"/>
  <c r="AP13" i="7"/>
  <c r="AP12" i="7"/>
  <c r="AP11" i="7"/>
  <c r="AP12" i="6"/>
  <c r="AR11" i="6" s="1"/>
  <c r="AP22" i="5"/>
  <c r="AP21" i="5"/>
  <c r="AP20" i="5"/>
  <c r="AP19" i="5"/>
  <c r="AR19" i="5" s="1"/>
  <c r="AP16" i="5"/>
  <c r="AR15" i="5" s="1"/>
  <c r="AP13" i="5"/>
  <c r="AP12" i="5"/>
  <c r="AP11" i="5"/>
  <c r="AP15" i="4"/>
  <c r="AP16" i="4"/>
  <c r="AP17" i="4"/>
  <c r="AP18" i="4"/>
  <c r="AP19" i="4"/>
  <c r="AR19" i="4" s="1"/>
  <c r="AP20" i="4"/>
  <c r="AP21" i="4"/>
  <c r="AP22" i="4"/>
  <c r="AP7" i="4"/>
  <c r="AP8" i="4"/>
  <c r="AP9" i="4"/>
  <c r="AP10" i="4"/>
  <c r="AP12" i="4"/>
  <c r="AP13" i="4"/>
  <c r="AP14" i="4"/>
  <c r="AP11" i="4"/>
  <c r="AR19" i="17" l="1"/>
  <c r="AR19" i="7"/>
  <c r="AR15" i="18"/>
  <c r="AR11" i="5"/>
  <c r="AR15" i="17"/>
  <c r="AR11" i="4"/>
  <c r="AR15" i="7"/>
  <c r="AR15" i="52"/>
  <c r="AR15" i="4"/>
  <c r="AR7" i="52"/>
  <c r="AR7" i="18"/>
  <c r="AR7" i="17"/>
  <c r="AR7" i="4"/>
  <c r="AR11" i="52"/>
  <c r="AR11" i="28"/>
  <c r="AR11" i="18"/>
  <c r="AR11" i="17"/>
  <c r="AR11" i="7"/>
  <c r="E37" i="48"/>
  <c r="E36" i="48"/>
  <c r="E35" i="48"/>
  <c r="E34" i="48"/>
  <c r="E33" i="48"/>
  <c r="E32" i="48"/>
  <c r="E31" i="48"/>
  <c r="E30" i="48"/>
  <c r="E29" i="48"/>
  <c r="E28" i="48"/>
  <c r="E27" i="48"/>
  <c r="D27" i="48"/>
  <c r="C27" i="48"/>
  <c r="E37" i="41"/>
  <c r="C37" i="41"/>
  <c r="E36" i="41"/>
  <c r="C36" i="41"/>
  <c r="E35" i="41"/>
  <c r="C35" i="41"/>
  <c r="E34" i="41"/>
  <c r="C34" i="41"/>
  <c r="E33" i="41"/>
  <c r="C33" i="41"/>
  <c r="E32" i="41"/>
  <c r="C32" i="41"/>
  <c r="E31" i="41"/>
  <c r="C31" i="41"/>
  <c r="E30" i="41"/>
  <c r="C30" i="41"/>
  <c r="E29" i="41"/>
  <c r="C29" i="41"/>
  <c r="E28" i="41"/>
  <c r="C28" i="41"/>
  <c r="E27" i="41"/>
  <c r="C27" i="41"/>
  <c r="E28" i="1" l="1"/>
  <c r="E29" i="1"/>
  <c r="E30" i="1"/>
  <c r="E31" i="1"/>
  <c r="E32" i="1"/>
  <c r="E33" i="1"/>
  <c r="E34" i="1"/>
  <c r="E35" i="1"/>
  <c r="E36" i="1"/>
  <c r="E37" i="1"/>
  <c r="E27" i="1"/>
  <c r="C37" i="1"/>
  <c r="C36" i="1"/>
  <c r="C35" i="1"/>
  <c r="C34" i="1"/>
  <c r="C33" i="1"/>
  <c r="C32" i="1"/>
  <c r="C31" i="1"/>
  <c r="C30" i="1"/>
  <c r="C29" i="1"/>
  <c r="C28" i="1"/>
  <c r="C27" i="1"/>
  <c r="D27" i="1"/>
  <c r="D28" i="1"/>
  <c r="D29" i="1"/>
  <c r="D30" i="1"/>
  <c r="D31" i="1"/>
  <c r="D32" i="1"/>
  <c r="D33" i="1"/>
  <c r="D34" i="1"/>
  <c r="D35" i="1"/>
  <c r="D36" i="1"/>
  <c r="D37" i="1"/>
</calcChain>
</file>

<file path=xl/comments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5.xml><?xml version="1.0" encoding="utf-8"?>
<comments xmlns="http://schemas.openxmlformats.org/spreadsheetml/2006/main">
  <authors>
    <author>Lorena Rodriguez</author>
    <author>Angie Dayana Hernandez Lobaton</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AL17" authorId="1" shapeId="0">
      <text>
        <r>
          <rPr>
            <b/>
            <sz val="9"/>
            <color indexed="81"/>
            <rFont val="Tahoma"/>
            <family val="2"/>
          </rPr>
          <t xml:space="preserve">En cuanto a estudios y diseños, para el caso de estudios de suelos, se ejecuto fisicamente en julio, pero no ha sido posible efecturar el pago por errores en el cargue de la factura. 
</t>
        </r>
        <r>
          <rPr>
            <sz val="9"/>
            <color indexed="81"/>
            <rFont val="Tahoma"/>
            <family val="2"/>
          </rPr>
          <t xml:space="preserve">
</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4.xml><?xml version="1.0" encoding="utf-8"?>
<comments xmlns="http://schemas.openxmlformats.org/spreadsheetml/2006/main">
  <authors>
    <author>Lorena Rodriguez</author>
    <author>Andres Arturo Martinez Alvarez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AI17" authorId="1" shapeId="0">
      <text>
        <r>
          <rPr>
            <b/>
            <sz val="9"/>
            <color indexed="81"/>
            <rFont val="Tahoma"/>
            <family val="2"/>
          </rPr>
          <t>Andres Arturo Martinez Alvarez:</t>
        </r>
        <r>
          <rPr>
            <sz val="9"/>
            <color indexed="81"/>
            <rFont val="Tahoma"/>
            <family val="2"/>
          </rPr>
          <t xml:space="preserve">
adicion 480.000.000 ferreteria </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5.xml><?xml version="1.0" encoding="utf-8"?>
<comments xmlns="http://schemas.openxmlformats.org/spreadsheetml/2006/main">
  <authors>
    <author>usuario</author>
  </authors>
  <commentList>
    <comment ref="N8" authorId="0" shapeId="0">
      <text>
        <r>
          <rPr>
            <b/>
            <sz val="9"/>
            <color indexed="81"/>
            <rFont val="Tahoma"/>
            <family val="2"/>
          </rPr>
          <t>usuario:</t>
        </r>
        <r>
          <rPr>
            <sz val="9"/>
            <color indexed="81"/>
            <rFont val="Tahoma"/>
            <family val="2"/>
          </rPr>
          <t xml:space="preserve">
NO SE DEBEN CONTAR LOS DIAS FESTIVOS, SABADOS Y DOMINGOS EN CASO DE QUE NO SE TRABAJE</t>
        </r>
      </text>
    </comment>
  </commentList>
</comments>
</file>

<file path=xl/sharedStrings.xml><?xml version="1.0" encoding="utf-8"?>
<sst xmlns="http://schemas.openxmlformats.org/spreadsheetml/2006/main" count="6196" uniqueCount="521">
  <si>
    <t>CÓDIGO</t>
  </si>
  <si>
    <t>VERSIÓN</t>
  </si>
  <si>
    <t>VIGENCIA</t>
  </si>
  <si>
    <t>Página</t>
  </si>
  <si>
    <t>NOMBRE DEL INDICADOR</t>
  </si>
  <si>
    <t>LINEA BASE</t>
  </si>
  <si>
    <t>META OBJETIVO</t>
  </si>
  <si>
    <t>INFORMACIÓN PARA LA MEDICIÓN DEL INDICADOR</t>
  </si>
  <si>
    <t>FRECUENCIA</t>
  </si>
  <si>
    <t>FUENTE DE INFORMACIÓN</t>
  </si>
  <si>
    <t>FÓRMULA DE CÁLCULO</t>
  </si>
  <si>
    <t>COMPORTAMIENTO INDICADOR</t>
  </si>
  <si>
    <t>Meses</t>
  </si>
  <si>
    <t>ENE</t>
  </si>
  <si>
    <t>FEB</t>
  </si>
  <si>
    <t>MAR</t>
  </si>
  <si>
    <t>ABR</t>
  </si>
  <si>
    <t>MAY</t>
  </si>
  <si>
    <t>JUN</t>
  </si>
  <si>
    <t>JUL</t>
  </si>
  <si>
    <t>AGOT</t>
  </si>
  <si>
    <t>SEPT</t>
  </si>
  <si>
    <t>OCT</t>
  </si>
  <si>
    <t>NOV</t>
  </si>
  <si>
    <t>DIC</t>
  </si>
  <si>
    <t>Dato Numerador</t>
  </si>
  <si>
    <t>Dato Denominador</t>
  </si>
  <si>
    <t>Periodo</t>
  </si>
  <si>
    <t>Datos</t>
  </si>
  <si>
    <t>Meta Vigencia</t>
  </si>
  <si>
    <t>Meta Objetivo</t>
  </si>
  <si>
    <t>Ene</t>
  </si>
  <si>
    <t>Feb</t>
  </si>
  <si>
    <t>Mar</t>
  </si>
  <si>
    <t>Abr</t>
  </si>
  <si>
    <t>May</t>
  </si>
  <si>
    <t>Jun</t>
  </si>
  <si>
    <t>Jul</t>
  </si>
  <si>
    <t>Ago</t>
  </si>
  <si>
    <t>Sep</t>
  </si>
  <si>
    <t>Oct</t>
  </si>
  <si>
    <t>Nov</t>
  </si>
  <si>
    <t>Dic</t>
  </si>
  <si>
    <t>Observaciones</t>
  </si>
  <si>
    <t xml:space="preserve">Requiere Acción Correctiva, Preventiva o de Mejora:                                                      </t>
  </si>
  <si>
    <t>NO:</t>
  </si>
  <si>
    <t>SI</t>
  </si>
  <si>
    <t>MEDICIÓN</t>
  </si>
  <si>
    <t>TIPO DE INDICADOR</t>
  </si>
  <si>
    <t>DEFINICIÓN DEL INDICADOR</t>
  </si>
  <si>
    <t>Análisis/Interpretación de Resultados del Indicador</t>
  </si>
  <si>
    <t xml:space="preserve"> </t>
  </si>
  <si>
    <t>UNIDAD DE MEDIDA</t>
  </si>
  <si>
    <t>VIGENCIA DE CUMPLIMENTO</t>
  </si>
  <si>
    <t xml:space="preserve">PLAZO  DE CUMPLIMIENTO </t>
  </si>
  <si>
    <t>META</t>
  </si>
  <si>
    <t>OBJETIVO DEL INDICADOR</t>
  </si>
  <si>
    <t>Notas:</t>
  </si>
  <si>
    <t>INSTRUCTIVO DE LA FICHA DE INDICADORES</t>
  </si>
  <si>
    <t>El formato debe ser diligenciado y firmado por quienes sean los responsables del indicador y sus seguimientos. La ficha contiene las siguientes casillas:</t>
  </si>
  <si>
    <t>El presente formato constituye la referencia de la ficha de indicadores de gestión, ya sean de eficiencia, eficacia, economía, calidad o cualquier otra clasificación</t>
  </si>
  <si>
    <r>
      <rPr>
        <b/>
        <sz val="11"/>
        <color indexed="8"/>
        <rFont val="Arial1"/>
      </rPr>
      <t>Objetivo del Indicador</t>
    </r>
    <r>
      <rPr>
        <sz val="11"/>
        <color indexed="8"/>
        <rFont val="Arial1"/>
      </rPr>
      <t>: Indique la razón por la cual se genera este indicador, cual es su finalidad, por ejemplo hacer seguimiento, realizar verificación de requisitos, este objetivo debe ir alineado con el nombre y la periodicidad</t>
    </r>
  </si>
  <si>
    <r>
      <rPr>
        <b/>
        <sz val="11"/>
        <color indexed="8"/>
        <rFont val="Arial1"/>
      </rPr>
      <t>Línea Base</t>
    </r>
    <r>
      <rPr>
        <sz val="11"/>
        <color indexed="8"/>
        <rFont val="Arial1"/>
      </rPr>
      <t>: datos e información que describe la situación previa a una intervención para el desarrollo, surge de datos históricos donde se revisa el comportamiento del indicador. De no haber línea base se sugiere establecer la misma meta</t>
    </r>
  </si>
  <si>
    <r>
      <rPr>
        <b/>
        <sz val="11"/>
        <color indexed="8"/>
        <rFont val="Arial1"/>
      </rPr>
      <t>Meta Objetivo</t>
    </r>
    <r>
      <rPr>
        <sz val="11"/>
        <color indexed="8"/>
        <rFont val="Arial1"/>
      </rPr>
      <t>: Relacione la meta numérica (en porcentaje o números), el plazo de cumplimiento de la meta general y la vigencia de cumplimiento de esta meta general</t>
    </r>
  </si>
  <si>
    <r>
      <rPr>
        <b/>
        <sz val="11"/>
        <color indexed="8"/>
        <rFont val="Arial1"/>
      </rPr>
      <t>Unidad de Medida</t>
    </r>
    <r>
      <rPr>
        <sz val="11"/>
        <color indexed="8"/>
        <rFont val="Arial1"/>
      </rPr>
      <t>:  Referente para cuantificar la cantidad o tamaño de una variable, puede ser numérica, en porcentaje, fracción, etc.</t>
    </r>
  </si>
  <si>
    <r>
      <rPr>
        <b/>
        <sz val="11"/>
        <color indexed="8"/>
        <rFont val="Arial1"/>
      </rPr>
      <t>Frecuencia:</t>
    </r>
    <r>
      <rPr>
        <sz val="11"/>
        <color indexed="8"/>
        <rFont val="Arial1"/>
      </rPr>
      <t xml:space="preserve"> Hace referencia a la periodicidad con la cual se medirá el indicador, ya sea mensual, bimestral, trimestral, semestral, entre otras</t>
    </r>
  </si>
  <si>
    <r>
      <rPr>
        <b/>
        <sz val="11"/>
        <color indexed="8"/>
        <rFont val="Arial1"/>
      </rPr>
      <t>Meta Vigencia:</t>
    </r>
    <r>
      <rPr>
        <sz val="11"/>
        <color indexed="8"/>
        <rFont val="Arial1"/>
      </rPr>
      <t xml:space="preserve"> Esta puede ser diferente de la Meta Objetivo mencionada debido a que la meta vigencia hace referencia a la frecuencia de medición, pero la meta objetivo puede estar ligada a un programa de gobierno con una frecuencia mayor</t>
    </r>
  </si>
  <si>
    <r>
      <rPr>
        <b/>
        <sz val="11"/>
        <color indexed="8"/>
        <rFont val="Arial1"/>
      </rPr>
      <t xml:space="preserve">Responsable Medición: </t>
    </r>
    <r>
      <rPr>
        <sz val="11"/>
        <color indexed="8"/>
        <rFont val="Arial1"/>
      </rPr>
      <t>Es la persona que se encarga de conseguir la información y diligenciar la ficha</t>
    </r>
  </si>
  <si>
    <r>
      <rPr>
        <b/>
        <sz val="11"/>
        <color indexed="8"/>
        <rFont val="Arial1"/>
      </rPr>
      <t>Responsable Análisis:</t>
    </r>
    <r>
      <rPr>
        <sz val="11"/>
        <color indexed="8"/>
        <rFont val="Arial1"/>
      </rPr>
      <t xml:space="preserve"> Es la persona encargada de con los datos de la ficha, realizar la interpretación de la información, en la mayoría de casos es la misma persona responsable de la medición</t>
    </r>
  </si>
  <si>
    <r>
      <rPr>
        <b/>
        <sz val="11"/>
        <color indexed="8"/>
        <rFont val="Arial1"/>
      </rPr>
      <t xml:space="preserve">Actores Interesados en el Resultado: </t>
    </r>
    <r>
      <rPr>
        <sz val="11"/>
        <color indexed="8"/>
        <rFont val="Arial1"/>
      </rPr>
      <t>Personas o Instituciones que deseen conocer los resultados del indicador, para fines de control o información netamente</t>
    </r>
  </si>
  <si>
    <r>
      <rPr>
        <b/>
        <sz val="11"/>
        <color indexed="8"/>
        <rFont val="Arial1"/>
      </rPr>
      <t>Fuente de Información</t>
    </r>
    <r>
      <rPr>
        <sz val="11"/>
        <color indexed="8"/>
        <rFont val="Arial1"/>
      </rPr>
      <t>: Aquí se debe mencionar las fuentes de todos los datos que permiten el calculo de la formula para llegar al indicador, informes, reportes de estadísticas, entre otras</t>
    </r>
  </si>
  <si>
    <r>
      <rPr>
        <b/>
        <sz val="11"/>
        <color indexed="8"/>
        <rFont val="Arial1"/>
      </rPr>
      <t>Formula de Calculo:</t>
    </r>
    <r>
      <rPr>
        <sz val="11"/>
        <color indexed="8"/>
        <rFont val="Arial1"/>
      </rPr>
      <t xml:space="preserve"> Expresión matemática (generalmente) mediante la cual se muestra la interacción de las variables utilizadas, puede ser una división, multiplicación, suma o una integración de varias operaciones</t>
    </r>
  </si>
  <si>
    <t>Sistema Integrado de Gestión de Calidad y Ambiental</t>
  </si>
  <si>
    <r>
      <rPr>
        <b/>
        <sz val="11"/>
        <color indexed="8"/>
        <rFont val="Arial1"/>
      </rPr>
      <t xml:space="preserve">Nombre del Indicador: </t>
    </r>
    <r>
      <rPr>
        <sz val="11"/>
        <color indexed="8"/>
        <rFont val="Arial1"/>
      </rPr>
      <t>Relacione el nombre del indicador</t>
    </r>
  </si>
  <si>
    <r>
      <rPr>
        <b/>
        <sz val="11"/>
        <color indexed="8"/>
        <rFont val="Arial1"/>
      </rPr>
      <t xml:space="preserve">Tipo de Indicador: </t>
    </r>
    <r>
      <rPr>
        <sz val="11"/>
        <color indexed="8"/>
        <rFont val="Arial1"/>
      </rPr>
      <t>Corresponde a la tipología a la cual se clasifique el indicador</t>
    </r>
  </si>
  <si>
    <t xml:space="preserve">FICHA TÉCNICA INDICADORES DE GESTIÓN </t>
  </si>
  <si>
    <t>ÁREA O DEPENDENCIA</t>
  </si>
  <si>
    <t>GRUPO DE TALENTO HUMANO</t>
  </si>
  <si>
    <t>GRUPO GESTIÓN DE INFORMACIÓN Y TICS (Informática)</t>
  </si>
  <si>
    <t>GRUPO GESTIÓN DE INFORMACIÓN Y TICS (Gestión Documental)</t>
  </si>
  <si>
    <t>GRUPO FINANCIERO (Tesorería)</t>
  </si>
  <si>
    <t>GRUPO FINANCIERO (Presupuesto)</t>
  </si>
  <si>
    <t>GRUPO DE SERVICIO AL USUARIO (Mantenimiento)</t>
  </si>
  <si>
    <t>GRUPO FINANCIERO (Contabilidad)</t>
  </si>
  <si>
    <t>GRUPO FINANCIERO (Caja menor)</t>
  </si>
  <si>
    <t>GRUPO DE PROYECTOS DE INVERSIÓN (Diseño y Desarrollo de proyectos)</t>
  </si>
  <si>
    <t>GRUPO DE SERVICIO AL USUARIO (Atención al usuario)</t>
  </si>
  <si>
    <t>ADMINISTRACIÓN DE VIVIENDA FISCAL (Viviendas)</t>
  </si>
  <si>
    <t>ADMINISTRACIÓN DE VIVIENDA FISCAL (Finca Raíz)</t>
  </si>
  <si>
    <t>ADMINISTRACIÓN DE VIVIENDA FISCAL (Servicios Públicos)</t>
  </si>
  <si>
    <t>ADMINISTRACIÓN DE VIVIENDA FISCAL (Cartera)</t>
  </si>
  <si>
    <t>ASESORÍA JURÍDICA (Jurídica)</t>
  </si>
  <si>
    <t>ASESORÍA JURÍDICA (Disciplinarios)</t>
  </si>
  <si>
    <t>ASESORÍA EN GESTIÓN INTEGRAL (SGA)</t>
  </si>
  <si>
    <t>ASESORÍA EN GESTIÓN INTEGRAL (SGSST)</t>
  </si>
  <si>
    <t xml:space="preserve">ASESORÍA EN PLANEACIÓN </t>
  </si>
  <si>
    <t>GRUPO DE ADQUISICIONES Y SUMINISTROS (Contratos)</t>
  </si>
  <si>
    <t>GRUPO DE ADQUISICIONES Y SUMINISTROS (Almacén)</t>
  </si>
  <si>
    <t>GRUPO DE ADQUISICIONES Y SUMINISTROS (Transportes)</t>
  </si>
  <si>
    <t>Indicador de eficiencia</t>
  </si>
  <si>
    <t>Indicador de eficacia</t>
  </si>
  <si>
    <t>Indicador de Cumplimiento</t>
  </si>
  <si>
    <t>Indicador de Evaluación</t>
  </si>
  <si>
    <t>Indicador de Capacidad</t>
  </si>
  <si>
    <t xml:space="preserve">Indicador de Productividad </t>
  </si>
  <si>
    <t>Indicador de Calidad</t>
  </si>
  <si>
    <t>Indicador de Rentabilidad</t>
  </si>
  <si>
    <t xml:space="preserve">Indicador de Competitividad </t>
  </si>
  <si>
    <t>Indicador de Valor</t>
  </si>
  <si>
    <t>RESPONSABLE MEDICIÓN Y ANÁLISIS</t>
  </si>
  <si>
    <t>Mensual</t>
  </si>
  <si>
    <t>Bimensual</t>
  </si>
  <si>
    <t>Trimestral</t>
  </si>
  <si>
    <t>Semestral</t>
  </si>
  <si>
    <t xml:space="preserve">Anual </t>
  </si>
  <si>
    <t>META DEL PERIODO</t>
  </si>
  <si>
    <t>ESCALA DE CUMPLIMIENTO</t>
  </si>
  <si>
    <t>BUENO</t>
  </si>
  <si>
    <t>01</t>
  </si>
  <si>
    <t>09 ABR 2021</t>
  </si>
  <si>
    <t>1</t>
  </si>
  <si>
    <t>DEFICIENTE</t>
  </si>
  <si>
    <t>ACEPTABLE</t>
  </si>
  <si>
    <t>0% - 60%</t>
  </si>
  <si>
    <t>61% - 80%</t>
  </si>
  <si>
    <t>81% - 100%</t>
  </si>
  <si>
    <t>ICFE-P-01-F-02</t>
  </si>
  <si>
    <t>31 DE MARZO 2019</t>
  </si>
  <si>
    <t>30 DE JUNIO 2019</t>
  </si>
  <si>
    <t>30 DE SEPTIEMBRE 2019</t>
  </si>
  <si>
    <t>31 DE DICIEMBRE DE 2019</t>
  </si>
  <si>
    <t>31 DE MARZO 2020</t>
  </si>
  <si>
    <t>30 DE JUNIO 2020</t>
  </si>
  <si>
    <t>30 DE SEPTIEMBRE 2020</t>
  </si>
  <si>
    <t>31 DE DICIEMBRE DE 2020</t>
  </si>
  <si>
    <t>31 DE MARZO 2021</t>
  </si>
  <si>
    <t>30 DE JUNIO 2021</t>
  </si>
  <si>
    <t>30 DE SEPTIEMBRE 2021</t>
  </si>
  <si>
    <t>31 DE DICIEMBRE DE 2021</t>
  </si>
  <si>
    <t>31 DE MARZO 2022</t>
  </si>
  <si>
    <t>30 DE JUNIO 2022</t>
  </si>
  <si>
    <t>30 DE SEPTIEMBRE 2022</t>
  </si>
  <si>
    <t>31 DE DICIEMBRE DE 2022</t>
  </si>
  <si>
    <t>AÑO</t>
  </si>
  <si>
    <t>TRIMESTRE</t>
  </si>
  <si>
    <t>PROGRAMADO</t>
  </si>
  <si>
    <t>EJECUTADO</t>
  </si>
  <si>
    <t>Conformación y seguimiento de los planes de acción anuales.</t>
  </si>
  <si>
    <t>Matricula y/o actualización oportuna de proyectos de inversión en el BPIN del DNP</t>
  </si>
  <si>
    <t>TOTAL TRIM</t>
  </si>
  <si>
    <t>TOTAL AÑO</t>
  </si>
  <si>
    <t>Conformación y seguimiento del plan anual de Anticorrupción y de atención al ciudadano</t>
  </si>
  <si>
    <t>Gestión institucional a través del Modelo Integrado de Planeación y Gestión - MIPG</t>
  </si>
  <si>
    <t xml:space="preserve">Derechos de petición </t>
  </si>
  <si>
    <t>Demandas</t>
  </si>
  <si>
    <t>Conciliaciones Extrajudiciales</t>
  </si>
  <si>
    <t>Acciones de tutela</t>
  </si>
  <si>
    <t>Modernización de equipos de tecnología</t>
  </si>
  <si>
    <t>Respaldo de Información</t>
  </si>
  <si>
    <t>Soporte y atención a incidentes Informáticos</t>
  </si>
  <si>
    <t>Nivel de satisfacción de los usuarios respecto al soporte y atención de incidentes informáticos</t>
  </si>
  <si>
    <t>Documentos que por TRD deben estar en el Archivo Central</t>
  </si>
  <si>
    <t>Ejecución PAC</t>
  </si>
  <si>
    <t>Caja Menor</t>
  </si>
  <si>
    <t>Presentación y pago de impuestos Tributarios</t>
  </si>
  <si>
    <t xml:space="preserve">Conciliación </t>
  </si>
  <si>
    <t>Obligaciones</t>
  </si>
  <si>
    <t>Ingresos</t>
  </si>
  <si>
    <t>Cumplimiento plan de construcciones</t>
  </si>
  <si>
    <t>Nivel satisfacción del usuario</t>
  </si>
  <si>
    <t>Gestión de PQR (pregunta, quejas y reclamos)</t>
  </si>
  <si>
    <t>Mantenimiento infraestructura</t>
  </si>
  <si>
    <t xml:space="preserve">Ejecución del presupuesto para mantenimiento </t>
  </si>
  <si>
    <t>Verificación de la cantidad de viviendas desocupadas a nivel Nacional</t>
  </si>
  <si>
    <t>Solicitud de vivienda Bogotá</t>
  </si>
  <si>
    <t xml:space="preserve">Verificación  de descuento </t>
  </si>
  <si>
    <t>Verificación de la cancelación del impuesto predial de cada propiedad</t>
  </si>
  <si>
    <t>Presupuesto servicio gas ICFE</t>
  </si>
  <si>
    <t>Presupuesto servicio Energía ICFE</t>
  </si>
  <si>
    <t>Presupuesto servicio Agua ICFE</t>
  </si>
  <si>
    <t>Presupuesto servicio Teléfono y celular ICFE</t>
  </si>
  <si>
    <t>Presupuesto servicio públicos usuarios (cuota usuarios)</t>
  </si>
  <si>
    <t>Recuperación de cartera</t>
  </si>
  <si>
    <t>Optimización de recursos financieros</t>
  </si>
  <si>
    <t xml:space="preserve">Cumplimiento contrataciones </t>
  </si>
  <si>
    <t>Cumplimiento de requisiciones</t>
  </si>
  <si>
    <t xml:space="preserve"> Gasolina y ACPM</t>
  </si>
  <si>
    <t>Mantenimiento parque automotor</t>
  </si>
  <si>
    <t>%</t>
  </si>
  <si>
    <t>Ejecución plan de contratistas</t>
  </si>
  <si>
    <t>Ejecución plan de ahorro y uso eficiente de papel</t>
  </si>
  <si>
    <t>Ejecución plan de ahorro y uso eficiente de energía</t>
  </si>
  <si>
    <t>Ejecución plan de ahorro y uso eficiente de agua</t>
  </si>
  <si>
    <t>Ejecución plan de gestión integral de residuos sólidos</t>
  </si>
  <si>
    <t>CUADRO DE REPORTE CUATRIENIO 2019 - 2022</t>
  </si>
  <si>
    <t>Porcentaje</t>
  </si>
  <si>
    <t>PS. Lorena Rodríguez</t>
  </si>
  <si>
    <t xml:space="preserve">Seguimiento y monitoreo al cumplimiento del plan de acción de la vigencia </t>
  </si>
  <si>
    <t>Soportes documentales aprobados a través de la plataforma Suite Vision Empresarial</t>
  </si>
  <si>
    <t>X</t>
  </si>
  <si>
    <t xml:space="preserve">Durante el primer trimestre de cumple con el 100% de lo programado por parte de todas las áreas del ICFE. </t>
  </si>
  <si>
    <t xml:space="preserve">Para el trimestre 1 del 2021 se debían entregar 80 soportes documentales, se aprobaron 80 soportes documentales de toda la entidad.
Lograr que las áreas entreguen soportes documentales dentro de los tiempos establecidos. </t>
  </si>
  <si>
    <t>ASD. Milena Gonzalez</t>
  </si>
  <si>
    <t>Cantidad</t>
  </si>
  <si>
    <t>N/A</t>
  </si>
  <si>
    <t>Cuatrimestral</t>
  </si>
  <si>
    <t>Monitorear y realizar el seguimiento al Plan Anticorrupción y de Atención al Ciudadano</t>
  </si>
  <si>
    <t>Reunión mensual del Comité Institucional de Gestión y Desempeño donde se rinde información de avance de los planes de mejoramiento del MIPG</t>
  </si>
  <si>
    <t>SEGUIMIENTO A ESTADISTICAS DE ACCIDENTALIDAD, ENFERMEDAD Y ASUNTISMO</t>
  </si>
  <si>
    <t>CODIGO:</t>
  </si>
  <si>
    <t>ICFE-P-77-F-04</t>
  </si>
  <si>
    <t>VERSIÓN:</t>
  </si>
  <si>
    <t>SISTEMA DE GESTIÓN DE SEGURIDAD Y SALUD EN EL TRABAJO</t>
  </si>
  <si>
    <t>VIGENCIA:</t>
  </si>
  <si>
    <t>31/01/2019</t>
  </si>
  <si>
    <t>Nº ACCIDENTES</t>
  </si>
  <si>
    <t xml:space="preserve">INCAPACIDAD POR AT </t>
  </si>
  <si>
    <t>SEGUIMIENTO EL</t>
  </si>
  <si>
    <t>INCAPACIDAD POR EG</t>
  </si>
  <si>
    <t>INDICES POR AT</t>
  </si>
  <si>
    <t>INDICES POR EL</t>
  </si>
  <si>
    <t>INDICE</t>
  </si>
  <si>
    <t>MES</t>
  </si>
  <si>
    <t>Nº DIAS LABORALES</t>
  </si>
  <si>
    <t>Nº TRABAJADORES</t>
  </si>
  <si>
    <t>Nº AT NO MORTALES MES</t>
  </si>
  <si>
    <t>Nº AT MORTALES MES</t>
  </si>
  <si>
    <t>Nº TOTAL DE AT MES</t>
  </si>
  <si>
    <t>Nº TOTAL DE AT CON INCAPACIDAD EN EL MES</t>
  </si>
  <si>
    <t>DIAS DE INCAPACIDAD</t>
  </si>
  <si>
    <t>DIAS PRORROGA</t>
  </si>
  <si>
    <t>TOTAL DIAS INCAPACIDAD</t>
  </si>
  <si>
    <t>Nº DIAS CARGADOS
AT</t>
  </si>
  <si>
    <t>Nº DE EL ANTIGUAS EN EL PERIODO</t>
  </si>
  <si>
    <t>Nº DE EL NUEVAS EN EL PERIODO</t>
  </si>
  <si>
    <t>TOTAL DE EL EN EL PERIODO</t>
  </si>
  <si>
    <t>TOTAL PERSONAS CON INCAPACIDAD POR EG  EN EL MES</t>
  </si>
  <si>
    <t>TOTAL DE DIAS DE AUSENCIA POR AT Y EG</t>
  </si>
  <si>
    <t>FRECUENCIA DE AT
%</t>
  </si>
  <si>
    <t>SEVERIDAD DE AT
%</t>
  </si>
  <si>
    <t>PROPORCION DE AT MORTALES</t>
  </si>
  <si>
    <t>PREVALENCIA DE LA EL</t>
  </si>
  <si>
    <t>INCIDENCIA DE LA EL</t>
  </si>
  <si>
    <t>AUSENTISTMO POR CAUSA MEDICA 
%</t>
  </si>
  <si>
    <t>ENERO 2021</t>
  </si>
  <si>
    <t>27</t>
  </si>
  <si>
    <t>FEBRERO 2021</t>
  </si>
  <si>
    <t>24</t>
  </si>
  <si>
    <t>MARZO 2021</t>
  </si>
  <si>
    <t>22</t>
  </si>
  <si>
    <t>ABRIL 2021</t>
  </si>
  <si>
    <t>MAYO 2021</t>
  </si>
  <si>
    <t>JUNIO 2021</t>
  </si>
  <si>
    <t>JULIO 2021</t>
  </si>
  <si>
    <t>AGOSTO 2021</t>
  </si>
  <si>
    <t>SEPTIEMBRE 2021</t>
  </si>
  <si>
    <t>OCTUBRE 2021</t>
  </si>
  <si>
    <t>NOVIEMBRE 2021</t>
  </si>
  <si>
    <t>DICIEMBRE 2021</t>
  </si>
  <si>
    <t>TOTAL 2020</t>
  </si>
  <si>
    <t>CONSIDERACIONES (Res- 0312 de 2019)</t>
  </si>
  <si>
    <t>TRABAJADOR</t>
  </si>
  <si>
    <t>N° EL DIAGNOSTICADAS</t>
  </si>
  <si>
    <t>DX</t>
  </si>
  <si>
    <t>% PCL</t>
  </si>
  <si>
    <t>dias cargados</t>
  </si>
  <si>
    <r>
      <rPr>
        <b/>
        <sz val="10"/>
        <rFont val="Arial"/>
        <family val="2"/>
      </rPr>
      <t>Indicador - frecuencia de Accidentalidad:</t>
    </r>
    <r>
      <rPr>
        <sz val="10"/>
        <rFont val="Arial"/>
        <family val="2"/>
      </rPr>
      <t xml:space="preserve"> (Nº de AT presentados en el mes / Nº de trabajadores en el mes)*100</t>
    </r>
  </si>
  <si>
    <t>DIAS CARGADOS</t>
  </si>
  <si>
    <t>Nº</t>
  </si>
  <si>
    <t>BARRERA TEGUA LUIS</t>
  </si>
  <si>
    <t>NA</t>
  </si>
  <si>
    <r>
      <rPr>
        <b/>
        <sz val="10"/>
        <rFont val="Arial"/>
        <family val="2"/>
      </rPr>
      <t xml:space="preserve">Indicador - Severidad de accidentalidad: </t>
    </r>
    <r>
      <rPr>
        <sz val="10"/>
        <rFont val="Arial"/>
        <family val="2"/>
      </rPr>
      <t>((Nº de dias de incapacidad por AT + Nº dìas cargados en el mes) / Nº de trabajdores en el mes)*100</t>
    </r>
  </si>
  <si>
    <t>MUERTE</t>
  </si>
  <si>
    <t>6000 dias</t>
  </si>
  <si>
    <t>OBDULIA BARRERA</t>
  </si>
  <si>
    <t>SINDROME DEL TUNEL DEL CARPO BILATERIAL, EPICONDILITIS MEDIA BILATERIAL, SINDROME DEL MANGUITO ROTADOR</t>
  </si>
  <si>
    <t>ANTIGUA</t>
  </si>
  <si>
    <t>13,3%PCL</t>
  </si>
  <si>
    <t>INVALIDEZ</t>
  </si>
  <si>
    <t>6000 dias*%PCL</t>
  </si>
  <si>
    <t>JULIO ALFREDO CASTRO ZAMBRANO</t>
  </si>
  <si>
    <r>
      <rPr>
        <b/>
        <sz val="10"/>
        <rFont val="Arial"/>
        <family val="2"/>
      </rPr>
      <t xml:space="preserve">Indicador - Proporción de AT mortales: </t>
    </r>
    <r>
      <rPr>
        <sz val="10"/>
        <rFont val="Arial"/>
        <family val="2"/>
      </rPr>
      <t>(Nº de AT mortales presentados en el año / Total de AT presentados en el año)*100</t>
    </r>
  </si>
  <si>
    <t>INCAPACIDAD PERMANENTE PARCIAL - IPP</t>
  </si>
  <si>
    <t>ARRIETA HOYOS PIEDAD</t>
  </si>
  <si>
    <t>EPICONDILITIS MEDIA Y BILATERAL, SINDROME TUNEL CARPIANO BILATERAL</t>
  </si>
  <si>
    <t>NUEVAS</t>
  </si>
  <si>
    <t>No se a determinado %PCL</t>
  </si>
  <si>
    <r>
      <rPr>
        <b/>
        <sz val="10"/>
        <rFont val="Arial"/>
        <family val="2"/>
      </rPr>
      <t xml:space="preserve">Indicador - Prevalencia de la EL: </t>
    </r>
    <r>
      <rPr>
        <sz val="10"/>
        <rFont val="Arial"/>
        <family val="2"/>
      </rPr>
      <t>(Nº de casos nuevos y antiguos de EL en el periodo / Promedio de trabajadores en periodo)*100,000</t>
    </r>
  </si>
  <si>
    <t>PREVALENCIA DE LA EL: Correponde a las enfermedades calificadas como laborales y no al numero de personas con enfermedad laboral</t>
  </si>
  <si>
    <t>PERDIDA DE CAPACIDAD LABORAL -PCL</t>
  </si>
  <si>
    <t>% Determinado para cada caso</t>
  </si>
  <si>
    <r>
      <rPr>
        <b/>
        <sz val="10"/>
        <rFont val="Arial"/>
        <family val="2"/>
      </rPr>
      <t>Indicador - Incidencia de la EL:</t>
    </r>
    <r>
      <rPr>
        <sz val="10"/>
        <rFont val="Arial"/>
        <family val="2"/>
      </rPr>
      <t xml:space="preserve"> (Nº de casos nuevos de EL en el periodo / Promedio de trabajadores en periodo)*100,000</t>
    </r>
  </si>
  <si>
    <t>NOTA: Sì la empresa tiene AT con 0 dìas de incpacidad o Incapacidad tempora, NO se calcula los dìas cargados.</t>
  </si>
  <si>
    <r>
      <rPr>
        <b/>
        <sz val="10"/>
        <rFont val="Arial"/>
        <family val="2"/>
      </rPr>
      <t>Indicador - Ausentismo por causa medica:</t>
    </r>
    <r>
      <rPr>
        <sz val="10"/>
        <rFont val="Arial"/>
        <family val="2"/>
      </rPr>
      <t xml:space="preserve"> (Nº de dias de usencia por incapacidad Laboral o Comun en el mes/ Nº dias programados en el mes)*100</t>
    </r>
  </si>
  <si>
    <t>El numero de dias de trabajo programados en el mes es igual a: el numero de dias de trabajo programados en la empresa por el numero de trabajadores.</t>
  </si>
  <si>
    <t xml:space="preserve">INDICADORES DE GESTION SST </t>
  </si>
  <si>
    <t>30 DE ABRIL 2020</t>
  </si>
  <si>
    <t>30 DE AGOSTO 2020</t>
  </si>
  <si>
    <t>30 DE ABRIL 2021</t>
  </si>
  <si>
    <t>30 DE AGOSTO 2021</t>
  </si>
  <si>
    <t>30 DE ABRIL 2022</t>
  </si>
  <si>
    <t>30 DE AGOSTO 2022</t>
  </si>
  <si>
    <t>AGO</t>
  </si>
  <si>
    <t>Medir el cumplimiento de las actividades propuestas para mejorar la implementación del MIGP</t>
  </si>
  <si>
    <t xml:space="preserve">Realizar las actividades pertinentes para la ejecución total de los proyectos </t>
  </si>
  <si>
    <t>Medir el sentimiento de bienestar de los usuarios de vivienda fiscal</t>
  </si>
  <si>
    <t>TE. Esteban Rojas</t>
  </si>
  <si>
    <t>3 fuentes de información: 
1. Encuestas generadas por el sistema de administración de inmuebles fiscales
2. Encuestas a través de cógido QR
3. Encuestas presenciales</t>
  </si>
  <si>
    <t>Gestionar las PQRSD en su totalidad para la toma decisiones enfocadas a la mejora continua</t>
  </si>
  <si>
    <t>2 módulos: 
Módulo PQRSD a través de la pagina web
Correo electronico
Ambas fuentes se consolidan a través de la herramienta documental ControlDoc</t>
  </si>
  <si>
    <t>Procentaje</t>
  </si>
  <si>
    <t>MY. Sanchez</t>
  </si>
  <si>
    <t>Las actividades de mantenimiento se efectuan de acuerdo con las necesidades del usuario (el usuario reporta al administrador la necesidad de mantenimiento)</t>
  </si>
  <si>
    <t>Actas de recibo a satisfacción de los mantenimientos efectuados</t>
  </si>
  <si>
    <t>Ejecutar el 100% del presupuesto asignado para mantenimiento</t>
  </si>
  <si>
    <t>Optimizar los recursos públicos al 100%</t>
  </si>
  <si>
    <t>PSD. Fabián Araujo</t>
  </si>
  <si>
    <t>La información la suministra el plan anual de adquisiciones</t>
  </si>
  <si>
    <t>Cumplir con el total de procesos inciados</t>
  </si>
  <si>
    <t>Procesos publicados en la platafroma SECOP II</t>
  </si>
  <si>
    <t>Realizar el pago de todas las ordenes de pago según las condiciones y tiempos  contractuales establecidos</t>
  </si>
  <si>
    <t>PSD. Claudia Gutierrez</t>
  </si>
  <si>
    <t>fuente de informaciòn es reporte del Aplicativo SIIF NACIÓN II</t>
  </si>
  <si>
    <t>Medir el % de cumplimiento del Almacén respecto a las solicitudes de mantenimiento</t>
  </si>
  <si>
    <t>TS. Victor Buitrago</t>
  </si>
  <si>
    <t>Informes del SAIMF</t>
  </si>
  <si>
    <t>CUADRO DE REPORTE CUATRENIO 2019 - 2022</t>
  </si>
  <si>
    <t xml:space="preserve">Seguimiento respuesta oportuna a los derechos de petición </t>
  </si>
  <si>
    <t>ASD. JULLIETH CASTRO</t>
  </si>
  <si>
    <t>CONTROLDOC, CARPETA COMPARTIDA JURÍDICA</t>
  </si>
  <si>
    <t>Seguimiento términos procesales de las demandas interpuestas en contra del ICFE</t>
  </si>
  <si>
    <t>Consulta de procesos rama judicial y Ekogui</t>
  </si>
  <si>
    <t>A la fecha se encuentran en curso en despachos judiciales veinticuatro (24) procesos activos.</t>
  </si>
  <si>
    <t xml:space="preserve">Seguimiento a la asistencia oportuna y actuación según lo acordado en los comités de conciliación </t>
  </si>
  <si>
    <t xml:space="preserve">ASD JULLIETH CASTRO </t>
  </si>
  <si>
    <t>Ekogui</t>
  </si>
  <si>
    <t>Seguimiento a la respuesta oportuna y seguimiento a las acciones de tutela</t>
  </si>
  <si>
    <t>ASD. JULLIETH CASTRO ANAYA</t>
  </si>
  <si>
    <t>Consulta de procesos página de la rama judicial, controldoc y carpeta compartida Jurídica</t>
  </si>
  <si>
    <t>Información extraída del SUIFP</t>
  </si>
  <si>
    <t xml:space="preserve">Disminuir la tasa de pago respecto al impuesto predial con el pago oportuno y obteniendo el mayor descuento </t>
  </si>
  <si>
    <t>PESOS</t>
  </si>
  <si>
    <t>SV. Mauricio Viafara</t>
  </si>
  <si>
    <t>Las facturas generadas con Hacienda por parte de la entidad departamental de cada una de las seccionales</t>
  </si>
  <si>
    <t>Para la vigencia 2020 y por la adecuada gestión en tiempos de pagos se tuvo un ahorro de $376,265,587. 
Para la vigencia 2021 y por la adecuada gestión en tiempos de pagos se tuvo un ahorro de $821,779,690 (Armenia exclusión)</t>
  </si>
  <si>
    <t xml:space="preserve">Efectuar el pago del impuesto predial oportunamente obteniendo el mayor descuento </t>
  </si>
  <si>
    <t>Se efectua el pago del impuesto predial a nivel nacional obteniendo el mayor descuento para las viegncias 2019, 2020 y 2021</t>
  </si>
  <si>
    <t xml:space="preserve">Recepcionar transferencias primarias de acuerdo a los tiempos de retención establecidos en la TRD de cada oficina productora </t>
  </si>
  <si>
    <t>TSD. Yajaira López</t>
  </si>
  <si>
    <t>Las 21 transferencias son las oficinas administrativas de la Entidad y las Tablas de Retención Documental del ICFE</t>
  </si>
  <si>
    <t>En el año 2019 no se efectuaron transferencias toda vez que en su momento se tenían atrasadas transferencias de vigencias anteriores. 
En el año 2020 se efectuaron en total 13 transferencias de las 21 establecidas, terminando este indicador en 62% para la vigencia 2020. 
Es importante establecer que dichas transferencias eran las atrasadas mientras que las de la vigencia evaluada están al 100%</t>
  </si>
  <si>
    <t>x</t>
  </si>
  <si>
    <t xml:space="preserve">En el primer trimestre del 2021 se recibieron 5 derechos de petición y de los cuales 5 fueron contestados oportunamente, cumplmiento con el 100% en el trimestre evaluado. </t>
  </si>
  <si>
    <t>Eficiencia presupuestal (Egresos)</t>
  </si>
  <si>
    <t>Pesos</t>
  </si>
  <si>
    <t xml:space="preserve">Pesos </t>
  </si>
  <si>
    <t>PSD. RAÚL ATEHORTÚA</t>
  </si>
  <si>
    <t>Efectuar los mantenimientos en cumplimiento al acuerdo 002 de 2018 y las programaciones</t>
  </si>
  <si>
    <t xml:space="preserve">VERIFICAR LA DESOCUPACIÓN DE VIVIENDAS A NIVEL NACIONAL </t>
  </si>
  <si>
    <t>NÚMERO</t>
  </si>
  <si>
    <t xml:space="preserve">MY. FELIPE PRIETO CASTRO </t>
  </si>
  <si>
    <t>SAIMF</t>
  </si>
  <si>
    <t>VERIFICAR LA RELACIÓN DE ASIGANCIÓN SOBRES SOLICITUDES PRESENTADAS EN BOGOYTÁ.</t>
  </si>
  <si>
    <t>MY. FELIPE PRIETO CASTRO</t>
  </si>
  <si>
    <t xml:space="preserve">SISTEMA SAIMF - LIBRO DE ASIGNACIÓN </t>
  </si>
  <si>
    <t>LA ASIGNACIÓN SE ESTA REALIZANDO A MEDIDA DE LA DESOCUPACIÓN Y DISPONIBILIDAD DE INMUEBLES.</t>
  </si>
  <si>
    <t>Cumplimiento de presupuesto de construcción de vivienda fiscal a nivel nacional</t>
  </si>
  <si>
    <t>Cumplimiento de presupuesto de mantenimiento estructural de vivienda fiscal a nivel nacional</t>
  </si>
  <si>
    <t>Cumplimiento plan de diseños de mantenimiento</t>
  </si>
  <si>
    <t>Cumplimiento plan de diseños de construcción</t>
  </si>
  <si>
    <t>Cumplimiento plan de mantenimientos</t>
  </si>
  <si>
    <t>Indicador Económico</t>
  </si>
  <si>
    <t>PSD. Ubaldina Cabrera</t>
  </si>
  <si>
    <t>PSD. Erika Rodríguez</t>
  </si>
  <si>
    <t>Lo que se causó (lo que se cobra a través del SAIMF) vs lo que no operó; reporte del área de Informática</t>
  </si>
  <si>
    <t>Medir la recuperación de la cartera de la entidad</t>
  </si>
  <si>
    <t>Efectuar el seguimiento de la ejecución del presupuesto de construcción</t>
  </si>
  <si>
    <t>ASD. Dulian Paola Jiménez</t>
  </si>
  <si>
    <t>plan estrategico: 138</t>
  </si>
  <si>
    <t>pla de adquisiciones: 138</t>
  </si>
  <si>
    <t>plan estrategico 106</t>
  </si>
  <si>
    <t>plan de adquisiciones: la ultima version: 42</t>
  </si>
  <si>
    <t>plan estrategico: 50</t>
  </si>
  <si>
    <t>plan de adquisiciones: 125</t>
  </si>
  <si>
    <t>DANIEL</t>
  </si>
  <si>
    <t>OSCAR</t>
  </si>
  <si>
    <t>ALEXANDRA</t>
  </si>
  <si>
    <t>INDEPENDI.</t>
  </si>
  <si>
    <t xml:space="preserve">En el segundo trimestre del año 2022 se habrán recibido 60 viviendas nuevas construidas. </t>
  </si>
  <si>
    <t>Dar cumplimiento con la normatividad fiscal</t>
  </si>
  <si>
    <t>Jefe del área contable</t>
  </si>
  <si>
    <t>Esta información se soporta con las declaraciones presentadas.</t>
  </si>
  <si>
    <t>Se da cumplimiento con las normas fiscales emanadas por la Dirección de Impuestos y aduanas nacionales</t>
  </si>
  <si>
    <t>Verificar la razonabilidad de la información procesada por cada una de las áreas</t>
  </si>
  <si>
    <t>Número</t>
  </si>
  <si>
    <t>Información procesada por cada área o dependencia</t>
  </si>
  <si>
    <t>Verificar la razonabilidad de las operaciones procesadas por cada dependencia.</t>
  </si>
  <si>
    <t>Plan Anual de Adquisiciones</t>
  </si>
  <si>
    <t>Verificar la ejecución de los mantenimientos a las unidades de vivienda programadas para la vigencia</t>
  </si>
  <si>
    <t>Realizar el seguimiento de la ejecución del presupuesto de mantenimiento</t>
  </si>
  <si>
    <t>Contar con los diseños planeados para ejecutar los mantenimientos programados</t>
  </si>
  <si>
    <t>Plan estratégico cuatrienal 2019-2022</t>
  </si>
  <si>
    <t>Contar con los diseños planeados para ejecutar las construcciones programadas</t>
  </si>
  <si>
    <t>Verificar la ejecución de las construcciones programadas para la vigencia</t>
  </si>
  <si>
    <t xml:space="preserve">Realizar seguimiento a la ejecucion del presupuesto de los pagos realizados por concepto de gas </t>
  </si>
  <si>
    <t>pesos</t>
  </si>
  <si>
    <t>CT. Diego Fernando Lizarazo</t>
  </si>
  <si>
    <t xml:space="preserve">Realizar seguimiento a la ejecucion del presupuesto de los pagos realizados por concepto de Energia </t>
  </si>
  <si>
    <t xml:space="preserve">pesos </t>
  </si>
  <si>
    <t>Realizar seguimiento a la ejecucion del presupuesto de los pagos realizados por concepto de agua</t>
  </si>
  <si>
    <t>Realizar seguimiento a la ejecucion del presupuesto de los pagos realizados por concepto de celular y telefono fijo</t>
  </si>
  <si>
    <t>Realizar seguimiento a la ejecucion del presupuesto de los pagos realizados por concepto de cuota usuarios</t>
  </si>
  <si>
    <t>Realizar seguimiento al cumplimiento del plan de contratistas</t>
  </si>
  <si>
    <t>PROGRAMA CONTROL DE CONTRATISTAS (ICFE-P-121 )
PLAN DE CONTROL DE CONTRATISTAS (ICFE-P-121-P-01)</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</si>
  <si>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</si>
  <si>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porcentaje</t>
  </si>
  <si>
    <t>fabio andres chaparro acosta</t>
  </si>
  <si>
    <t>PSD. Fabio Andrés Chaparro Acosta</t>
  </si>
  <si>
    <t>Cantidad de equipos de cómputo adquiridos</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</si>
  <si>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</si>
  <si>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backups reaizados a los equipos de computo y servidores del ICFE</t>
  </si>
  <si>
    <t>incidencias reportadas en el GLPI (HELP-DESK) ICFE</t>
  </si>
  <si>
    <t>encuesta de satisfaccion realizada a funcionarios ICFE</t>
  </si>
  <si>
    <t>ICFE-P-120 PROGRAMA DE AHORRO Y USO EFICIENTE DE PAPEL
ICFE-P-120-F-01 PLAN DE AHORRO Y USO EFICIENTE DE PAPEL</t>
  </si>
  <si>
    <t>Realizar seguimiento al cumplimiento del plan de ahorro y uso eficiente de papel</t>
  </si>
  <si>
    <t>Realizar seguimiento al cumplimiento del plan de ahorro y uso eficiente de energía</t>
  </si>
  <si>
    <t>ICFE-P-119 PROGRAMA DE AHORRO Y USO EFICIENTE DE ENERGÍA
ICFE-P-119-P-01 PLAN DE AHORRO Y USO EFICIENTE DE ENERGÍA</t>
  </si>
  <si>
    <t>Realizar seguimiento al cumplimiento del plan de ahorro y uso eficiente de agua</t>
  </si>
  <si>
    <t>ICFE-P-118 PROGRAMA DE AHORRO Y USO EFICIENTE DEL RECURSO HÍDRICO
ICFE-P-118-P-01 PLAN DE AHORRO Y USO EFICIENTE DE AGUA</t>
  </si>
  <si>
    <t>ICFE-P-117 PROCEDIMIENTO DE GESTIÓN INTEGRAL DE RESIDUOS
ICFE-P-117-P-01 PLAN DE GESTIÓN INTEGRAL DE RESIDUOS SÓLIDOS</t>
  </si>
  <si>
    <t>Realizar seguimiento al cumplimiento del plan de gestión integral de residuos sólidos</t>
  </si>
  <si>
    <t>PLAN DE BIENESTAR</t>
  </si>
  <si>
    <t>Medir el cumplimiento del plan de bienestar del ICFE</t>
  </si>
  <si>
    <t>COORD. TH</t>
  </si>
  <si>
    <t>Plan de bienestar social e incentivos</t>
  </si>
  <si>
    <t>PLAN DE CAPACITACION</t>
  </si>
  <si>
    <t>Medir el cumplimiento del plan de capacitación</t>
  </si>
  <si>
    <t>Programa de capacitación</t>
  </si>
  <si>
    <t>CLIMA ORGANIZACIONAL</t>
  </si>
  <si>
    <t>Medir el nivel de satisfacción de los trabajadores con el clima laboral</t>
  </si>
  <si>
    <r>
      <rPr>
        <b/>
        <sz val="10"/>
        <color rgb="FF000000"/>
        <rFont val="Arial"/>
        <family val="2"/>
      </rPr>
      <t xml:space="preserve">Primer y Segundo Trimestre: </t>
    </r>
    <r>
      <rPr>
        <sz val="10"/>
        <color indexed="8"/>
        <rFont val="Arial"/>
        <family val="2"/>
      </rPr>
      <t xml:space="preserve">
- La fecha prevista de adquisición de los equipos de cómputo para la vigencia 2021 es el mes de julio.</t>
    </r>
  </si>
  <si>
    <t>Por esta razón a corte 30 de junio no se han adquirido los equipos de cómputo.</t>
  </si>
  <si>
    <r>
      <rPr>
        <b/>
        <sz val="10"/>
        <color rgb="FF000000"/>
        <rFont val="Arial"/>
        <family val="2"/>
      </rPr>
      <t xml:space="preserve">Primer trimestre: </t>
    </r>
    <r>
      <rPr>
        <sz val="10"/>
        <color indexed="8"/>
        <rFont val="Arial"/>
        <family val="2"/>
      </rPr>
      <t xml:space="preserve">
- Debido a que se presentan inconsistenia al momento de generar los backups con el software COBIAN no fue posible realizar el backup del 100% de los equipos de ocmpuo del ICFE. 
</t>
    </r>
    <r>
      <rPr>
        <b/>
        <sz val="10"/>
        <color rgb="FF000000"/>
        <rFont val="Arial"/>
        <family val="2"/>
      </rPr>
      <t>Segundo trimestre:</t>
    </r>
    <r>
      <rPr>
        <sz val="10"/>
        <color indexed="8"/>
        <rFont val="Arial"/>
        <family val="2"/>
      </rPr>
      <t xml:space="preserve"> 
- 
</t>
    </r>
  </si>
  <si>
    <r>
      <t xml:space="preserve">Notas: </t>
    </r>
    <r>
      <rPr>
        <sz val="10"/>
        <color rgb="FF000000"/>
        <rFont val="Arial"/>
        <family val="2"/>
      </rPr>
      <t>Validar la confiabilidad de la herramienta COBIAN (software libre) y si es necesario plantera la necesidad de adquirir un nuevo software de licencia paga que garantice la funcionalidad del mismo.</t>
    </r>
  </si>
  <si>
    <r>
      <rPr>
        <b/>
        <sz val="10"/>
        <color rgb="FF000000"/>
        <rFont val="Arial"/>
        <family val="2"/>
      </rPr>
      <t>Primer trimestre:</t>
    </r>
    <r>
      <rPr>
        <sz val="10"/>
        <color indexed="8"/>
        <rFont val="Arial"/>
        <family val="2"/>
      </rPr>
      <t xml:space="preserve">
- Configurar nuevamente el software cliente de COBIAN para generar los backups en los equipos faltantes.
</t>
    </r>
    <r>
      <rPr>
        <b/>
        <sz val="10"/>
        <color rgb="FF000000"/>
        <rFont val="Arial"/>
        <family val="2"/>
      </rPr>
      <t>Segundo Trimestre:</t>
    </r>
    <r>
      <rPr>
        <sz val="10"/>
        <color indexed="8"/>
        <rFont val="Arial"/>
        <family val="2"/>
      </rPr>
      <t xml:space="preserve"> 
- </t>
    </r>
  </si>
  <si>
    <r>
      <rPr>
        <b/>
        <sz val="10"/>
        <color rgb="FF000000"/>
        <rFont val="Arial"/>
        <family val="2"/>
      </rPr>
      <t>1er trimestre:</t>
    </r>
    <r>
      <rPr>
        <sz val="10"/>
        <color indexed="8"/>
        <rFont val="Arial"/>
        <family val="2"/>
      </rPr>
      <t xml:space="preserve">
- Se atendieron el 100% de las solicitudes registradas en el GLPI por los usuarios internos del ICFE. 
</t>
    </r>
    <r>
      <rPr>
        <b/>
        <sz val="10"/>
        <color rgb="FF000000"/>
        <rFont val="Arial"/>
        <family val="2"/>
      </rPr>
      <t xml:space="preserve">2do trimestre:
</t>
    </r>
    <r>
      <rPr>
        <sz val="10"/>
        <color indexed="8"/>
        <rFont val="Arial"/>
        <family val="2"/>
      </rPr>
      <t xml:space="preserve">-
</t>
    </r>
  </si>
  <si>
    <r>
      <rPr>
        <b/>
        <sz val="10"/>
        <color rgb="FF000000"/>
        <rFont val="Arial"/>
        <family val="2"/>
      </rPr>
      <t>1er trimestre:</t>
    </r>
    <r>
      <rPr>
        <sz val="10"/>
        <color indexed="8"/>
        <rFont val="Arial"/>
        <family val="2"/>
      </rPr>
      <t xml:space="preserve">
- Seguir trabajando para que los usuarios registren todas las solicitudes, ya que muchas veces el usuario plantea la necesidad pero no la gestiona por la herramienta dispuesta para tal fin.
</t>
    </r>
    <r>
      <rPr>
        <b/>
        <sz val="10"/>
        <color rgb="FF000000"/>
        <rFont val="Arial"/>
        <family val="2"/>
      </rPr>
      <t>2do trimestre:</t>
    </r>
    <r>
      <rPr>
        <sz val="10"/>
        <color indexed="8"/>
        <rFont val="Arial"/>
        <family val="2"/>
      </rPr>
      <t xml:space="preserve">
- </t>
    </r>
  </si>
  <si>
    <t>ALIMENTAR EL INDICADOR DESDE ACÁ</t>
  </si>
  <si>
    <r>
      <rPr>
        <b/>
        <sz val="10"/>
        <color rgb="FF000000"/>
        <rFont val="Arial"/>
        <family val="2"/>
      </rPr>
      <t xml:space="preserve">1er trimestre: </t>
    </r>
    <r>
      <rPr>
        <sz val="10"/>
        <color indexed="8"/>
        <rFont val="Arial"/>
        <family val="2"/>
      </rPr>
      <t xml:space="preserve">
- Se debe garantizar la mayor cantidad de respuesta por parte de los funcionarios 
</t>
    </r>
    <r>
      <rPr>
        <b/>
        <sz val="10"/>
        <color rgb="FF000000"/>
        <rFont val="Arial"/>
        <family val="2"/>
      </rPr>
      <t xml:space="preserve">2do trimestre:
</t>
    </r>
    <r>
      <rPr>
        <sz val="10"/>
        <color indexed="8"/>
        <rFont val="Arial"/>
        <family val="2"/>
      </rPr>
      <t>-</t>
    </r>
  </si>
  <si>
    <r>
      <rPr>
        <b/>
        <sz val="10"/>
        <color rgb="FF000000"/>
        <rFont val="Arial"/>
        <family val="2"/>
      </rPr>
      <t xml:space="preserve">1ER TRIM: </t>
    </r>
    <r>
      <rPr>
        <sz val="10"/>
        <color indexed="8"/>
        <rFont val="Arial"/>
        <family val="2"/>
      </rPr>
      <t xml:space="preserve">
- Para el 1er trimestre del 2021 se tiene un avance del 19%, donde de las 21 transferencias establecidas para esta vigencia en el 1er trimestre se han efectuado 4.
</t>
    </r>
    <r>
      <rPr>
        <b/>
        <sz val="10"/>
        <color rgb="FF000000"/>
        <rFont val="Arial"/>
        <family val="2"/>
      </rPr>
      <t>2DO TRIM</t>
    </r>
    <r>
      <rPr>
        <sz val="10"/>
        <color indexed="8"/>
        <rFont val="Arial"/>
        <family val="2"/>
      </rPr>
      <t xml:space="preserve">:
-
</t>
    </r>
  </si>
  <si>
    <r>
      <rPr>
        <b/>
        <sz val="10"/>
        <color rgb="FF000000"/>
        <rFont val="Arial"/>
        <family val="2"/>
      </rPr>
      <t>1er semestre:</t>
    </r>
    <r>
      <rPr>
        <sz val="10"/>
        <color indexed="8"/>
        <rFont val="Arial"/>
        <family val="2"/>
      </rPr>
      <t xml:space="preserve"> 
- 
</t>
    </r>
  </si>
  <si>
    <t>No.</t>
  </si>
  <si>
    <t>Indicador</t>
  </si>
  <si>
    <t>Unidad de Medida</t>
  </si>
  <si>
    <t>FECHA</t>
  </si>
  <si>
    <t>EJECUCIÓN
TRIMESTRAL</t>
  </si>
  <si>
    <t xml:space="preserve">Porcentaje </t>
  </si>
  <si>
    <t>20</t>
  </si>
  <si>
    <t>TOTAL 2021</t>
  </si>
  <si>
    <r>
      <rPr>
        <b/>
        <sz val="10"/>
        <color rgb="FF000000"/>
        <rFont val="Arial"/>
        <family val="2"/>
      </rPr>
      <t>1er trim:</t>
    </r>
    <r>
      <rPr>
        <sz val="10"/>
        <color indexed="8"/>
        <rFont val="Arial"/>
        <family val="2"/>
      </rPr>
      <t xml:space="preserve">
- Para el primer trimestre se programaron actividades de acuerdo a las posibilidades de la realidad social que se vive. Por tal las actividades de tipo presencial no se programaron.
</t>
    </r>
    <r>
      <rPr>
        <b/>
        <sz val="10"/>
        <color rgb="FF000000"/>
        <rFont val="Arial"/>
        <family val="2"/>
      </rPr>
      <t>2do trim</t>
    </r>
    <r>
      <rPr>
        <sz val="10"/>
        <color indexed="8"/>
        <rFont val="Arial"/>
        <family val="2"/>
      </rPr>
      <t xml:space="preserve">:
- Se tenían programadas 3 actividades de las cuales sólo se pudo ejecutar 1; esto atendiendo las medidas de prevención para mitigar el contagio por COVID-19, las actividades se han realizado de manera virtual y en celebraciones se difunden boletines vía correo institucional. </t>
    </r>
  </si>
  <si>
    <t xml:space="preserve">Se espera para el tercer y cuarto trimestre desarollar las actividades programadas cumplimiendo las normas de bioseguridad. </t>
  </si>
  <si>
    <r>
      <rPr>
        <b/>
        <sz val="10"/>
        <color rgb="FF000000"/>
        <rFont val="Arial"/>
        <family val="2"/>
      </rPr>
      <t xml:space="preserve">1er trim: </t>
    </r>
    <r>
      <rPr>
        <sz val="10"/>
        <color indexed="8"/>
        <rFont val="Arial"/>
        <family val="2"/>
      </rPr>
      <t xml:space="preserve">
- Para el primer trimestre no se programaron capacitaciones de origen externo, ya que estas requieren de la celebración de contratos. La estructuración se ha visto retrasa por la suspención de actividades presenciales, teniendo en cuenta que muchas de las capacitaciones requeridas son prácticas.
</t>
    </r>
    <r>
      <rPr>
        <b/>
        <sz val="10"/>
        <color rgb="FF000000"/>
        <rFont val="Arial"/>
        <family val="2"/>
      </rPr>
      <t>2do trim</t>
    </r>
    <r>
      <rPr>
        <sz val="10"/>
        <color indexed="8"/>
        <rFont val="Arial"/>
        <family val="2"/>
      </rPr>
      <t xml:space="preserve">: 
- Para el segundo trimestre no se tenian programadas capacitaciones de origen externo, éstas se efectuarán durante el segundo semestre 2021. El número de capacitaciones registradas obedece a las capacitaciones internas efectuadas por la Asesoría en Gestión Integral en materia de Salud y Seguridad en el Trabajo. 
</t>
    </r>
    <r>
      <rPr>
        <b/>
        <sz val="10"/>
        <color indexed="8"/>
        <rFont val="Arial"/>
        <family val="2"/>
      </rPr>
      <t>3er trim:</t>
    </r>
    <r>
      <rPr>
        <sz val="10"/>
        <color indexed="8"/>
        <rFont val="Arial"/>
        <family val="2"/>
      </rPr>
      <t xml:space="preserve"> 
-
</t>
    </r>
  </si>
  <si>
    <t>Encuesta de satisfacción de clima laboral aplicadas</t>
  </si>
  <si>
    <r>
      <rPr>
        <b/>
        <sz val="10"/>
        <color rgb="FF000000"/>
        <rFont val="Arial"/>
        <family val="2"/>
      </rPr>
      <t>1er trim:</t>
    </r>
    <r>
      <rPr>
        <sz val="10"/>
        <color indexed="8"/>
        <rFont val="Arial"/>
        <family val="2"/>
      </rPr>
      <t xml:space="preserve">
Para el primer trimestre de aplicó encuesta de clima labora relacionada con el manejo del COVID 19. La calificación estuvo relacionada con el autocuidado y las medidas tomadas por el ICFE
</t>
    </r>
    <r>
      <rPr>
        <b/>
        <sz val="10"/>
        <color rgb="FF000000"/>
        <rFont val="Arial"/>
        <family val="2"/>
      </rPr>
      <t xml:space="preserve">
2do trim:
</t>
    </r>
    <r>
      <rPr>
        <sz val="10"/>
        <color indexed="8"/>
        <rFont val="Arial"/>
        <family val="2"/>
      </rPr>
      <t xml:space="preserve">- Se efectuaron 47 encuestas de las cuales 43 fueron calificadas positivamente. Demostrando que el 91% de los colaboradores del ICFE consideran un clima laboral excelemte y bueno. Así mismo la calificación se relaciona con la percepción del autocuidado y el manejo del ICFE frente a la pandemia por COVID-19.
</t>
    </r>
    <r>
      <rPr>
        <b/>
        <sz val="10"/>
        <color indexed="8"/>
        <rFont val="Arial"/>
        <family val="2"/>
      </rPr>
      <t>3er trim:</t>
    </r>
    <r>
      <rPr>
        <sz val="10"/>
        <color indexed="8"/>
        <rFont val="Arial"/>
        <family val="2"/>
      </rPr>
      <t xml:space="preserve">
- 
</t>
    </r>
  </si>
  <si>
    <r>
      <rPr>
        <b/>
        <sz val="10"/>
        <color rgb="FF000000"/>
        <rFont val="Arial"/>
        <family val="2"/>
      </rPr>
      <t>1er semestre:</t>
    </r>
    <r>
      <rPr>
        <sz val="10"/>
        <color indexed="8"/>
        <rFont val="Arial"/>
        <family val="2"/>
      </rPr>
      <t xml:space="preserve"> 
- Durante el primer semestre del 2021 se efectuaron 255 encuestas de satisfacción a las usuarios de las cuales 235 fueron calificadas como bueno y excelente, manteniendo la satisfacción del usuario en 92%.
</t>
    </r>
  </si>
  <si>
    <t xml:space="preserve">Pagos cancelados y Plan de Adquisiciones </t>
  </si>
  <si>
    <r>
      <t xml:space="preserve">Durante el primer trimestre del 2021 no se matricularon ni actualización proyectos en el BPIN. 
En el segundo trimestre del año se inscribieron 2 proyectos, los soportes documentales reposan en el Grupo de Proyectos y también son soporte de mitigación del riesgo No. 1 de la Asesoría en Planeación. 
</t>
    </r>
    <r>
      <rPr>
        <b/>
        <sz val="10"/>
        <color indexed="8"/>
        <rFont val="Arial"/>
        <family val="2"/>
      </rPr>
      <t xml:space="preserve">a. Nombre del proyecto: </t>
    </r>
    <r>
      <rPr>
        <sz val="10"/>
        <color indexed="8"/>
        <rFont val="Arial"/>
        <family val="2"/>
      </rPr>
      <t xml:space="preserve">CONSTRUCCIÓN DE VIVIENDAS FISCALES Y SUS ÁREAS COMUNES A NIVEL NACIONAL. </t>
    </r>
    <r>
      <rPr>
        <b/>
        <sz val="10"/>
        <color indexed="8"/>
        <rFont val="Arial"/>
        <family val="2"/>
      </rPr>
      <t>Código BPIN:</t>
    </r>
    <r>
      <rPr>
        <sz val="10"/>
        <color indexed="8"/>
        <rFont val="Arial"/>
        <family val="2"/>
      </rPr>
      <t xml:space="preserve"> 2019011000070
</t>
    </r>
    <r>
      <rPr>
        <b/>
        <sz val="10"/>
        <color indexed="8"/>
        <rFont val="Arial"/>
        <family val="2"/>
      </rPr>
      <t xml:space="preserve">b.Nombre del proyecto: </t>
    </r>
    <r>
      <rPr>
        <sz val="10"/>
        <color indexed="8"/>
        <rFont val="Arial"/>
        <family val="2"/>
      </rPr>
      <t xml:space="preserve">MANTENIMIENTO RECUPERATIVO Y ESTRUCTURAL DE VIVIENDAS FISCALES Y SUS AREAS
COMUNES A NIVEL NACIONAL. </t>
    </r>
    <r>
      <rPr>
        <b/>
        <sz val="10"/>
        <color indexed="8"/>
        <rFont val="Arial"/>
        <family val="2"/>
      </rPr>
      <t xml:space="preserve">Código BPI: </t>
    </r>
    <r>
      <rPr>
        <sz val="10"/>
        <color indexed="8"/>
        <rFont val="Arial"/>
        <family val="2"/>
      </rPr>
      <t>2017011000372</t>
    </r>
  </si>
  <si>
    <r>
      <rPr>
        <b/>
        <sz val="10"/>
        <color indexed="8"/>
        <rFont val="Arial"/>
        <family val="2"/>
      </rPr>
      <t xml:space="preserve">1er cuatrimestre:
</t>
    </r>
    <r>
      <rPr>
        <sz val="10"/>
        <color indexed="8"/>
        <rFont val="Arial"/>
        <family val="2"/>
      </rPr>
      <t xml:space="preserve">Durante la primera semana de mayo se da cumplimiento del 1er cuatrimestre del año, teniendo un cumplimiento de 43.43/47.98. Las área que deben entregables del 1er cuatrimestre son Talento Humano y Cartera. 
2do cuatrimestre:
</t>
    </r>
  </si>
  <si>
    <t xml:space="preserve">El primer trimestre se construyen los planes de mejoramiento a ejecuctar durante el 2021, se cuenta con plan de mejoramiento de MIGP y plan de actualización de procesos y procedimientos.  
En el mes de junio se entregan los resultados del FURAG 2020 y se incluyen actividades dentro del Plan de Mejoramiento MIPG. </t>
  </si>
  <si>
    <t>21</t>
  </si>
  <si>
    <t>Variación del número de acciones de tutela que invoquen derecho de petición del año en curso con respecto al año anterior.</t>
  </si>
  <si>
    <t>Monitorear el aumento en la cantidad de acciones de tutela contra la entidad que invoquen el derecho de petición.</t>
  </si>
  <si>
    <t>&lt;= 30%</t>
  </si>
  <si>
    <t>MALO</t>
  </si>
  <si>
    <t xml:space="preserve">CRITICO </t>
  </si>
  <si>
    <t>MAYO A 120%</t>
  </si>
  <si>
    <t>60%-85%</t>
  </si>
  <si>
    <t>30% - 60%</t>
  </si>
  <si>
    <t>La entidad debe construir la base de acuerdo a la información al cierre de la vigencia anterior.</t>
  </si>
  <si>
    <t xml:space="preserve">ANUAL </t>
  </si>
  <si>
    <t>V1</t>
  </si>
  <si>
    <t>V2</t>
  </si>
  <si>
    <t>Eficacia</t>
  </si>
  <si>
    <t>25</t>
  </si>
  <si>
    <t>23</t>
  </si>
  <si>
    <t>26</t>
  </si>
  <si>
    <t>INCAPACIDAD POR AT / EL</t>
  </si>
  <si>
    <t>INDICES POR AT/EL</t>
  </si>
  <si>
    <t>INDCICES POR EG</t>
  </si>
  <si>
    <t>Nº TOTAL DE EG CON INCAPACIDAD EN EL MES</t>
  </si>
  <si>
    <t>TOTAL DIAS TRABAJADOS</t>
  </si>
  <si>
    <t>HORAS TRABAJADAS POR DIA</t>
  </si>
  <si>
    <t>HORAS HOMBRE TRABAJADAS</t>
  </si>
  <si>
    <t>FRECUENCIA DE AT</t>
  </si>
  <si>
    <t>FRECUENCIA DE AT CON INCAPACIDAD</t>
  </si>
  <si>
    <t>SEVERIDAD DE AT</t>
  </si>
  <si>
    <t>LESIONES INCAPACITANTES</t>
  </si>
  <si>
    <t>TASA DE ACCIDENTALIDAD</t>
  </si>
  <si>
    <t>INDICE DE FRECUENCIA DE AUSENTISMO</t>
  </si>
  <si>
    <t>TASA DE SEVERIDAD</t>
  </si>
  <si>
    <t>TOTAL 2022</t>
  </si>
  <si>
    <t>CONSIDERACIONES</t>
  </si>
  <si>
    <t>HHT: Horas hombre trabajadas (No.trabajadores*días trabajados*horas trabajadas-incapacidades-permisos)</t>
  </si>
  <si>
    <t>I.F.: Indice de frecuencia: No. de accidentes/HHT*K</t>
  </si>
  <si>
    <t>I.S.: Indice de severidad: No. días de perdidos ó Días cargados/HHT*K</t>
  </si>
  <si>
    <t>I.L.I :Indice de lesiones incapacitantes: IF*IS/1000</t>
  </si>
  <si>
    <t>K : 240000</t>
  </si>
  <si>
    <t>I.D.P. : Indice Medio de Días Perdidos por Lesiones: No. Total de dias perdidos o cargados por  lesiones /No. de casos con tiempo perdido</t>
  </si>
  <si>
    <t xml:space="preserve">TASA: Tasa de accidentalidad: No. de accidentes ocurridos x100/ No. de Trabajadores </t>
  </si>
  <si>
    <t>SEGUIMIENTO ANUAL DE  INDICADORES DE GESTION</t>
  </si>
  <si>
    <t>PERIODO: 2022</t>
  </si>
  <si>
    <t>AT/EL</t>
  </si>
  <si>
    <t>EG</t>
  </si>
  <si>
    <t>N° TOTAL DE AT</t>
  </si>
  <si>
    <t>N° TOTAL DE AT CON INCAPACIDAD POR AT</t>
  </si>
  <si>
    <t>TOTAL DIAS DE INCAPACIDAD POR AT/EL</t>
  </si>
  <si>
    <t>TOTAL DIAS DE INCAPACIDAD POR EG</t>
  </si>
  <si>
    <t>PERIODO: 2018</t>
  </si>
  <si>
    <t>OBJETIVO 2022: REDUCIR EN UN 10% LOS INDICES CON RESPECTO AL AÑO ANTERIOR</t>
  </si>
  <si>
    <t>%CUMPLIMIENTO</t>
  </si>
  <si>
    <t>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</si>
</sst>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 #,##0.00_-;\-&quot;$&quot;\ * #,##0.00_-;_-&quot;$&quot;\ * &quot;-&quot;??_-;_-@_-"/>
    <numFmt numFmtId="43" formatCode="_-* #,##0.00_-;\-* #,##0.00_-;_-* &quot;-&quot;??_-;_-@_-"/>
    <numFmt numFmtId="164" formatCode="_-&quot;$&quot;* #,##0_-;\-&quot;$&quot;* #,##0_-;_-&quot;$&quot;* &quot;-&quot;_-;_-@_-"/>
    <numFmt numFmtId="165" formatCode="0.0"/>
    <numFmt numFmtId="166" formatCode="0.0%"/>
    <numFmt numFmtId="167" formatCode="_-&quot;$&quot;\ * #,##0_-;\-&quot;$&quot;\ * #,##0_-;_-&quot;$&quot;\ * &quot;-&quot;??_-;_-@_-"/>
  </numFmts>
  <fonts count="42">
    <font>
      <sz val="11"/>
      <color indexed="8"/>
      <name val="Ari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1"/>
    </font>
    <font>
      <b/>
      <sz val="11"/>
      <color indexed="8"/>
      <name val="Arial1"/>
    </font>
    <font>
      <b/>
      <sz val="10"/>
      <color theme="0"/>
      <name val="Arial"/>
      <family val="2"/>
    </font>
    <font>
      <sz val="10"/>
      <color indexed="8"/>
      <name val="Arial"/>
      <family val="2"/>
    </font>
    <font>
      <b/>
      <sz val="10"/>
      <color indexed="8"/>
      <name val="Arial"/>
      <family val="2"/>
    </font>
    <font>
      <sz val="10"/>
      <color theme="0"/>
      <name val="Arial"/>
      <family val="2"/>
    </font>
    <font>
      <sz val="10"/>
      <color indexed="18"/>
      <name val="Arial"/>
      <family val="2"/>
    </font>
    <font>
      <b/>
      <sz val="10"/>
      <color indexed="12"/>
      <name val="Arial"/>
      <family val="2"/>
    </font>
    <font>
      <sz val="10"/>
      <color rgb="FFFF0000"/>
      <name val="Arial"/>
      <family val="2"/>
    </font>
    <font>
      <b/>
      <sz val="11"/>
      <color theme="0"/>
      <name val="Arial"/>
      <family val="2"/>
    </font>
    <font>
      <b/>
      <sz val="10"/>
      <name val="Arial"/>
      <family val="2"/>
    </font>
    <font>
      <b/>
      <sz val="14"/>
      <name val="Arial"/>
      <family val="2"/>
    </font>
    <font>
      <sz val="9"/>
      <color indexed="81"/>
      <name val="Tahoma"/>
      <family val="2"/>
    </font>
    <font>
      <sz val="11"/>
      <color indexed="8"/>
      <name val="Arial1"/>
    </font>
    <font>
      <sz val="10"/>
      <name val="Arial"/>
      <family val="2"/>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Arial"/>
      <family val="2"/>
    </font>
    <font>
      <b/>
      <sz val="11"/>
      <name val="Arial"/>
      <family val="2"/>
    </font>
    <font>
      <sz val="10"/>
      <color theme="1"/>
      <name val="Calibri"/>
      <family val="2"/>
      <scheme val="minor"/>
    </font>
    <font>
      <sz val="10"/>
      <color theme="1"/>
      <name val="Arial"/>
      <family val="2"/>
    </font>
    <font>
      <b/>
      <sz val="9"/>
      <color theme="0"/>
      <name val="Calibri"/>
      <family val="2"/>
      <scheme val="minor"/>
    </font>
    <font>
      <b/>
      <sz val="9"/>
      <name val="Calibri"/>
      <family val="2"/>
      <scheme val="minor"/>
    </font>
    <font>
      <b/>
      <sz val="9"/>
      <color theme="1"/>
      <name val="Calibri"/>
      <family val="2"/>
      <scheme val="minor"/>
    </font>
    <font>
      <sz val="9"/>
      <color theme="1"/>
      <name val="Calibri"/>
      <family val="2"/>
      <scheme val="minor"/>
    </font>
    <font>
      <sz val="11"/>
      <name val="Calibri"/>
      <family val="2"/>
      <scheme val="minor"/>
    </font>
    <font>
      <b/>
      <sz val="11"/>
      <color rgb="FFFF0000"/>
      <name val="Calibri"/>
      <family val="2"/>
      <scheme val="minor"/>
    </font>
    <font>
      <b/>
      <sz val="10"/>
      <color rgb="FF000000"/>
      <name val="Arial"/>
      <family val="2"/>
    </font>
    <font>
      <sz val="10"/>
      <color rgb="FF000000"/>
      <name val="Arial"/>
      <family val="2"/>
    </font>
    <font>
      <b/>
      <sz val="16"/>
      <color rgb="FFFF0000"/>
      <name val="Arial"/>
      <family val="2"/>
    </font>
    <font>
      <b/>
      <sz val="10"/>
      <color rgb="FFFF0000"/>
      <name val="Arial"/>
      <family val="2"/>
    </font>
    <font>
      <b/>
      <sz val="9"/>
      <color indexed="81"/>
      <name val="Tahoma"/>
      <family val="2"/>
    </font>
    <font>
      <b/>
      <sz val="8"/>
      <color theme="0"/>
      <name val="Calibri"/>
      <family val="2"/>
      <scheme val="minor"/>
    </font>
    <font>
      <b/>
      <sz val="8"/>
      <color theme="1"/>
      <name val="Calibri"/>
      <family val="2"/>
      <scheme val="minor"/>
    </font>
  </fonts>
  <fills count="30">
    <fill>
      <patternFill patternType="none"/>
    </fill>
    <fill>
      <patternFill patternType="gray125"/>
    </fill>
    <fill>
      <patternFill patternType="solid">
        <fgColor theme="3" tint="-0.249977111117893"/>
        <bgColor indexed="45"/>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0070C0"/>
        <bgColor indexed="64"/>
      </patternFill>
    </fill>
    <fill>
      <patternFill patternType="solid">
        <fgColor rgb="FF00B0F0"/>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9" tint="-0.249977111117893"/>
        <bgColor indexed="64"/>
      </patternFill>
    </fill>
    <fill>
      <patternFill patternType="solid">
        <fgColor theme="0"/>
        <bgColor indexed="64"/>
      </patternFill>
    </fill>
    <fill>
      <patternFill patternType="solid">
        <fgColor theme="2" tint="-0.49998474074526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rgb="FFFFFF99"/>
        <bgColor indexed="64"/>
      </patternFill>
    </fill>
    <fill>
      <patternFill patternType="solid">
        <fgColor rgb="FF002060"/>
        <bgColor indexed="64"/>
      </patternFill>
    </fill>
    <fill>
      <patternFill patternType="solid">
        <fgColor theme="4" tint="0.59999389629810485"/>
        <bgColor indexed="64"/>
      </patternFill>
    </fill>
    <fill>
      <patternFill patternType="solid">
        <fgColor theme="9" tint="0.59999389629810485"/>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8"/>
      </left>
      <right/>
      <top/>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right style="hair">
        <color indexed="8"/>
      </right>
      <top/>
      <bottom/>
      <diagonal/>
    </border>
    <border>
      <left style="thin">
        <color indexed="64"/>
      </left>
      <right style="hair">
        <color indexed="8"/>
      </right>
      <top/>
      <bottom/>
      <diagonal/>
    </border>
    <border>
      <left style="hair">
        <color indexed="8"/>
      </left>
      <right style="hair">
        <color indexed="8"/>
      </right>
      <top/>
      <bottom/>
      <diagonal/>
    </border>
    <border>
      <left style="hair">
        <color indexed="8"/>
      </left>
      <right style="thin">
        <color indexed="64"/>
      </right>
      <top/>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style="hair">
        <color indexed="8"/>
      </left>
      <right style="hair">
        <color indexed="8"/>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8"/>
      </top>
      <bottom/>
      <diagonal/>
    </border>
    <border>
      <left/>
      <right style="hair">
        <color indexed="8"/>
      </right>
      <top style="thin">
        <color indexed="64"/>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style="thin">
        <color indexed="64"/>
      </bottom>
      <diagonal/>
    </border>
    <border>
      <left/>
      <right style="thin">
        <color theme="4" tint="0.39997558519241921"/>
      </right>
      <top style="thin">
        <color indexed="64"/>
      </top>
      <bottom/>
      <diagonal/>
    </border>
    <border>
      <left/>
      <right style="thin">
        <color theme="4" tint="0.39997558519241921"/>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0">
    <xf numFmtId="0" fontId="0" fillId="0" borderId="0"/>
    <xf numFmtId="0" fontId="7" fillId="0" borderId="0" applyBorder="0" applyProtection="0"/>
    <xf numFmtId="9" fontId="20" fillId="0" borderId="0" applyFont="0" applyFill="0" applyBorder="0" applyAlignment="0" applyProtection="0"/>
    <xf numFmtId="164" fontId="20" fillId="0" borderId="0" applyFont="0" applyFill="0" applyBorder="0" applyAlignment="0" applyProtection="0"/>
    <xf numFmtId="0" fontId="6" fillId="0" borderId="0"/>
    <xf numFmtId="9" fontId="6" fillId="0" borderId="0" applyFont="0" applyFill="0" applyBorder="0" applyAlignment="0" applyProtection="0"/>
    <xf numFmtId="0" fontId="21" fillId="0" borderId="0"/>
    <xf numFmtId="44" fontId="20" fillId="0" borderId="0" applyFont="0" applyFill="0" applyBorder="0" applyAlignment="0" applyProtection="0"/>
    <xf numFmtId="0" fontId="5" fillId="0" borderId="0"/>
    <xf numFmtId="9" fontId="5" fillId="0" borderId="0" applyFont="0" applyFill="0" applyBorder="0" applyAlignment="0" applyProtection="0"/>
    <xf numFmtId="43" fontId="20" fillId="0" borderId="0" applyFont="0" applyFill="0" applyBorder="0" applyAlignment="0" applyProtection="0"/>
    <xf numFmtId="0" fontId="4"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cellStyleXfs>
  <cellXfs count="1191">
    <xf numFmtId="0" fontId="0" fillId="0" borderId="0" xfId="0"/>
    <xf numFmtId="0" fontId="0" fillId="0" borderId="0" xfId="0" applyAlignment="1"/>
    <xf numFmtId="0" fontId="11" fillId="0" borderId="0" xfId="0" applyNumberFormat="1" applyFont="1" applyFill="1" applyBorder="1" applyAlignment="1">
      <alignment vertical="center" wrapText="1"/>
    </xf>
    <xf numFmtId="0" fontId="10" fillId="0" borderId="7" xfId="0" applyNumberFormat="1" applyFont="1" applyBorder="1" applyAlignment="1">
      <alignment horizontal="center" vertical="center" wrapText="1"/>
    </xf>
    <xf numFmtId="9" fontId="10" fillId="0" borderId="7"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10" fontId="10" fillId="0" borderId="0" xfId="0" applyNumberFormat="1" applyFont="1" applyBorder="1" applyAlignment="1">
      <alignment horizontal="center" vertical="center" wrapText="1"/>
    </xf>
    <xf numFmtId="10" fontId="10" fillId="0" borderId="6"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0" xfId="0" applyNumberFormat="1" applyFont="1" applyAlignment="1">
      <alignment horizontal="center" vertical="center" wrapText="1"/>
    </xf>
    <xf numFmtId="0" fontId="10" fillId="0" borderId="0" xfId="0" applyNumberFormat="1" applyFont="1" applyAlignment="1">
      <alignment horizontal="center" vertical="center" wrapText="1"/>
    </xf>
    <xf numFmtId="9" fontId="10" fillId="0" borderId="0" xfId="0" applyNumberFormat="1" applyFont="1" applyAlignment="1">
      <alignment horizontal="center" vertical="center" wrapText="1"/>
    </xf>
    <xf numFmtId="10" fontId="10" fillId="0" borderId="0" xfId="0" applyNumberFormat="1" applyFont="1" applyAlignment="1">
      <alignment horizontal="center" vertical="center" wrapText="1"/>
    </xf>
    <xf numFmtId="10" fontId="11" fillId="0" borderId="0" xfId="0" applyNumberFormat="1" applyFont="1" applyBorder="1" applyAlignment="1">
      <alignment horizontal="right" vertical="center" wrapText="1"/>
    </xf>
    <xf numFmtId="0" fontId="10" fillId="0" borderId="8" xfId="0" applyNumberFormat="1" applyFont="1" applyBorder="1" applyAlignment="1">
      <alignment horizontal="justify" vertical="center" wrapText="1"/>
    </xf>
    <xf numFmtId="0" fontId="10" fillId="0" borderId="6" xfId="0" applyNumberFormat="1" applyFont="1" applyBorder="1" applyAlignment="1">
      <alignment horizontal="center" vertical="center" wrapText="1"/>
    </xf>
    <xf numFmtId="9" fontId="10" fillId="0" borderId="6" xfId="0" applyNumberFormat="1" applyFont="1" applyBorder="1" applyAlignment="1">
      <alignment horizontal="center" vertical="center" wrapText="1"/>
    </xf>
    <xf numFmtId="0" fontId="11" fillId="3" borderId="7" xfId="0" applyNumberFormat="1" applyFont="1" applyFill="1" applyBorder="1" applyAlignment="1">
      <alignment horizontal="center" vertical="center" wrapText="1"/>
    </xf>
    <xf numFmtId="0" fontId="9" fillId="2" borderId="5" xfId="0" applyNumberFormat="1" applyFont="1" applyFill="1" applyBorder="1" applyAlignment="1">
      <alignment vertical="center" wrapText="1"/>
    </xf>
    <xf numFmtId="0" fontId="0" fillId="0" borderId="0" xfId="0" applyAlignment="1">
      <alignment vertical="center"/>
    </xf>
    <xf numFmtId="0" fontId="0" fillId="0" borderId="0" xfId="0" applyAlignment="1">
      <alignment vertical="center" wrapText="1"/>
    </xf>
    <xf numFmtId="0" fontId="10" fillId="0" borderId="10" xfId="0" applyNumberFormat="1" applyFont="1" applyFill="1" applyBorder="1" applyAlignment="1">
      <alignment horizontal="center" vertical="center" wrapText="1"/>
    </xf>
    <xf numFmtId="0" fontId="0" fillId="0" borderId="0" xfId="0" applyAlignment="1">
      <alignment horizontal="center" vertical="center"/>
    </xf>
    <xf numFmtId="0" fontId="10"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vertical="center" wrapText="1"/>
    </xf>
    <xf numFmtId="10" fontId="10" fillId="0" borderId="0" xfId="0" applyNumberFormat="1" applyFont="1" applyAlignment="1">
      <alignment vertical="center" wrapText="1"/>
    </xf>
    <xf numFmtId="0" fontId="10" fillId="0" borderId="2" xfId="0" applyNumberFormat="1" applyFont="1" applyBorder="1" applyAlignment="1">
      <alignment vertical="center" wrapText="1"/>
    </xf>
    <xf numFmtId="0" fontId="10" fillId="0" borderId="0" xfId="0" applyNumberFormat="1" applyFont="1" applyBorder="1" applyAlignment="1">
      <alignment vertical="center" wrapText="1"/>
    </xf>
    <xf numFmtId="0" fontId="10" fillId="0" borderId="6" xfId="0" applyNumberFormat="1" applyFont="1" applyBorder="1" applyAlignment="1">
      <alignment vertical="center" wrapText="1"/>
    </xf>
    <xf numFmtId="0" fontId="10" fillId="0" borderId="1" xfId="0" applyNumberFormat="1" applyFont="1" applyBorder="1" applyAlignment="1">
      <alignment vertical="center" wrapText="1"/>
    </xf>
    <xf numFmtId="0" fontId="10" fillId="0" borderId="3" xfId="0" applyNumberFormat="1" applyFont="1" applyBorder="1" applyAlignment="1">
      <alignment vertical="center" wrapText="1"/>
    </xf>
    <xf numFmtId="0" fontId="15" fillId="0" borderId="0" xfId="0" applyNumberFormat="1" applyFont="1" applyAlignment="1">
      <alignment vertical="center" wrapText="1"/>
    </xf>
    <xf numFmtId="0" fontId="10" fillId="0" borderId="4" xfId="0" applyNumberFormat="1" applyFont="1" applyBorder="1" applyAlignment="1">
      <alignment vertical="center" wrapText="1"/>
    </xf>
    <xf numFmtId="0" fontId="10" fillId="0" borderId="5" xfId="0" applyNumberFormat="1" applyFont="1" applyBorder="1" applyAlignment="1">
      <alignment vertical="center" wrapText="1"/>
    </xf>
    <xf numFmtId="9" fontId="10" fillId="0" borderId="6" xfId="0" applyNumberFormat="1" applyFont="1" applyBorder="1" applyAlignment="1">
      <alignment vertical="center" wrapText="1"/>
    </xf>
    <xf numFmtId="0" fontId="10" fillId="0" borderId="9" xfId="0" applyNumberFormat="1" applyFont="1" applyBorder="1" applyAlignment="1">
      <alignment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10" fillId="0" borderId="0" xfId="0" applyNumberFormat="1" applyFont="1" applyAlignment="1">
      <alignment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49" fontId="21" fillId="0" borderId="0" xfId="0" applyNumberFormat="1" applyFont="1" applyAlignment="1">
      <alignment vertical="center" wrapText="1"/>
    </xf>
    <xf numFmtId="49" fontId="21" fillId="0" borderId="0" xfId="0" applyNumberFormat="1" applyFont="1" applyAlignment="1">
      <alignment vertical="center"/>
    </xf>
    <xf numFmtId="0" fontId="17" fillId="0" borderId="0" xfId="0" applyNumberFormat="1" applyFont="1" applyFill="1" applyBorder="1" applyAlignment="1">
      <alignment vertical="center" wrapText="1"/>
    </xf>
    <xf numFmtId="0" fontId="17" fillId="0" borderId="0" xfId="0" applyNumberFormat="1" applyFont="1" applyFill="1" applyBorder="1" applyAlignment="1">
      <alignment vertical="center"/>
    </xf>
    <xf numFmtId="0" fontId="17" fillId="0" borderId="0" xfId="0" applyNumberFormat="1" applyFont="1" applyAlignment="1">
      <alignment vertical="center"/>
    </xf>
    <xf numFmtId="10" fontId="21" fillId="0" borderId="0" xfId="0" applyNumberFormat="1" applyFont="1" applyAlignment="1">
      <alignment vertical="center"/>
    </xf>
    <xf numFmtId="0" fontId="17" fillId="0" borderId="0" xfId="0" applyNumberFormat="1" applyFont="1" applyAlignment="1">
      <alignment vertical="center" wrapText="1"/>
    </xf>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xf>
    <xf numFmtId="0" fontId="21" fillId="0" borderId="0" xfId="0" applyNumberFormat="1" applyFont="1" applyAlignment="1">
      <alignment horizontal="center" vertical="center" wrapText="1"/>
    </xf>
    <xf numFmtId="9" fontId="21" fillId="0" borderId="0" xfId="0" applyNumberFormat="1" applyFont="1" applyAlignment="1">
      <alignment horizontal="center" vertical="center"/>
    </xf>
    <xf numFmtId="10" fontId="21" fillId="0" borderId="0" xfId="0" applyNumberFormat="1" applyFont="1" applyAlignment="1">
      <alignment horizontal="center" vertical="center"/>
    </xf>
    <xf numFmtId="0" fontId="10" fillId="0" borderId="10"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9" fontId="10" fillId="0" borderId="0" xfId="0" applyNumberFormat="1" applyFont="1" applyAlignment="1">
      <alignment vertical="center" wrapText="1"/>
    </xf>
    <xf numFmtId="0" fontId="21" fillId="21" borderId="0" xfId="6" applyFill="1" applyAlignment="1">
      <alignment wrapText="1"/>
    </xf>
    <xf numFmtId="0" fontId="21" fillId="23" borderId="36" xfId="6" applyFill="1" applyBorder="1" applyAlignment="1">
      <alignment wrapText="1"/>
    </xf>
    <xf numFmtId="0" fontId="21" fillId="23" borderId="52" xfId="6" applyFill="1" applyBorder="1" applyAlignment="1">
      <alignment horizontal="center" vertical="center" wrapText="1"/>
    </xf>
    <xf numFmtId="0" fontId="21" fillId="23" borderId="52" xfId="6" applyFill="1" applyBorder="1" applyAlignment="1">
      <alignment wrapText="1"/>
    </xf>
    <xf numFmtId="0" fontId="21" fillId="23" borderId="59" xfId="6" applyFill="1" applyBorder="1" applyAlignment="1">
      <alignment wrapText="1"/>
    </xf>
    <xf numFmtId="0" fontId="21" fillId="23" borderId="74" xfId="6" applyFill="1" applyBorder="1" applyAlignment="1">
      <alignment wrapText="1"/>
    </xf>
    <xf numFmtId="0" fontId="21" fillId="0" borderId="5" xfId="6" applyBorder="1" applyAlignment="1">
      <alignment wrapText="1"/>
    </xf>
    <xf numFmtId="0" fontId="21" fillId="23" borderId="41" xfId="6" applyFill="1" applyBorder="1" applyAlignment="1">
      <alignment wrapText="1"/>
    </xf>
    <xf numFmtId="0" fontId="21" fillId="23" borderId="7" xfId="6" applyFill="1" applyBorder="1" applyAlignment="1">
      <alignment horizontal="center" vertical="center" wrapText="1"/>
    </xf>
    <xf numFmtId="0" fontId="21" fillId="23" borderId="7" xfId="6" applyFill="1" applyBorder="1" applyAlignment="1">
      <alignment wrapText="1"/>
    </xf>
    <xf numFmtId="0" fontId="21" fillId="23" borderId="61" xfId="6" applyFill="1" applyBorder="1" applyAlignment="1">
      <alignment wrapText="1"/>
    </xf>
    <xf numFmtId="0" fontId="15" fillId="23" borderId="74" xfId="6" applyFont="1" applyFill="1" applyBorder="1" applyAlignment="1">
      <alignment horizontal="center" wrapText="1"/>
    </xf>
    <xf numFmtId="0" fontId="21" fillId="23" borderId="0" xfId="6" applyFill="1" applyAlignment="1">
      <alignment wrapText="1"/>
    </xf>
    <xf numFmtId="0" fontId="21" fillId="23" borderId="46" xfId="6" applyFill="1" applyBorder="1" applyAlignment="1">
      <alignment wrapText="1"/>
    </xf>
    <xf numFmtId="0" fontId="21" fillId="23" borderId="75" xfId="6" applyFill="1" applyBorder="1" applyAlignment="1">
      <alignment horizontal="center" vertical="center" wrapText="1"/>
    </xf>
    <xf numFmtId="0" fontId="21" fillId="23" borderId="75" xfId="6" applyFill="1" applyBorder="1" applyAlignment="1">
      <alignment wrapText="1"/>
    </xf>
    <xf numFmtId="0" fontId="21" fillId="23" borderId="76" xfId="6" applyFill="1" applyBorder="1" applyAlignment="1">
      <alignment wrapText="1"/>
    </xf>
    <xf numFmtId="0" fontId="21" fillId="0" borderId="0" xfId="6"/>
    <xf numFmtId="0" fontId="21" fillId="21" borderId="0" xfId="6" applyFill="1"/>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10" fillId="0" borderId="7" xfId="0" applyNumberFormat="1" applyFont="1" applyBorder="1" applyAlignment="1">
      <alignment horizontal="center" vertical="center" wrapText="1"/>
    </xf>
    <xf numFmtId="1" fontId="10" fillId="0" borderId="0" xfId="0" applyNumberFormat="1" applyFont="1" applyAlignment="1">
      <alignment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10" fillId="0" borderId="7"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10"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vertical="center"/>
    </xf>
    <xf numFmtId="9" fontId="10" fillId="0" borderId="7"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11" fillId="3" borderId="7" xfId="0" applyFont="1" applyFill="1" applyBorder="1" applyAlignment="1">
      <alignment horizontal="center" vertical="center" wrapText="1"/>
    </xf>
    <xf numFmtId="1" fontId="21" fillId="0" borderId="0" xfId="0" applyNumberFormat="1" applyFont="1" applyAlignment="1">
      <alignment vertical="center"/>
    </xf>
    <xf numFmtId="0" fontId="10" fillId="0" borderId="2" xfId="0" applyFont="1" applyBorder="1" applyAlignment="1">
      <alignment vertical="center" wrapText="1"/>
    </xf>
    <xf numFmtId="0" fontId="11" fillId="0" borderId="0" xfId="0" applyFont="1" applyAlignment="1">
      <alignment horizontal="center" vertical="center" wrapText="1"/>
    </xf>
    <xf numFmtId="0" fontId="10" fillId="0" borderId="6" xfId="0" applyFont="1" applyBorder="1" applyAlignment="1">
      <alignment vertical="center" wrapText="1"/>
    </xf>
    <xf numFmtId="0" fontId="11" fillId="0" borderId="6" xfId="0" applyFont="1" applyBorder="1" applyAlignment="1">
      <alignment horizontal="center" vertical="center" wrapText="1"/>
    </xf>
    <xf numFmtId="0" fontId="10" fillId="0" borderId="1" xfId="0" applyFont="1" applyBorder="1" applyAlignment="1">
      <alignment vertical="center" wrapText="1"/>
    </xf>
    <xf numFmtId="0" fontId="10" fillId="0" borderId="3" xfId="0" applyFont="1" applyBorder="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21" fillId="0" borderId="0" xfId="0" applyFont="1" applyAlignment="1">
      <alignment horizontal="center" vertical="center" wrapText="1"/>
    </xf>
    <xf numFmtId="10" fontId="11" fillId="0" borderId="0" xfId="0" applyNumberFormat="1" applyFont="1" applyAlignment="1">
      <alignment horizontal="righ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8" xfId="0" applyFont="1" applyBorder="1" applyAlignment="1">
      <alignment horizontal="justify" vertical="center" wrapText="1"/>
    </xf>
    <xf numFmtId="0" fontId="10" fillId="0" borderId="6" xfId="0" applyFont="1" applyBorder="1" applyAlignment="1">
      <alignment horizontal="center" vertical="center" wrapText="1"/>
    </xf>
    <xf numFmtId="0" fontId="10" fillId="0" borderId="9" xfId="0" applyFont="1" applyBorder="1" applyAlignment="1">
      <alignment vertical="center" wrapText="1"/>
    </xf>
    <xf numFmtId="9" fontId="10" fillId="0" borderId="24" xfId="0" applyNumberFormat="1" applyFont="1" applyBorder="1" applyAlignment="1">
      <alignment vertical="center" wrapText="1"/>
    </xf>
    <xf numFmtId="9" fontId="10" fillId="0" borderId="7" xfId="0" applyNumberFormat="1" applyFont="1" applyBorder="1" applyAlignment="1">
      <alignment vertical="center" wrapText="1"/>
    </xf>
    <xf numFmtId="164" fontId="10" fillId="0" borderId="0" xfId="0" applyNumberFormat="1" applyFont="1" applyAlignment="1">
      <alignment vertical="center" wrapText="1"/>
    </xf>
    <xf numFmtId="49" fontId="9" fillId="2"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6" xfId="0" applyFont="1" applyBorder="1" applyAlignment="1">
      <alignment vertical="center" wrapText="1"/>
    </xf>
    <xf numFmtId="0" fontId="10" fillId="0" borderId="10" xfId="0" applyFont="1" applyBorder="1" applyAlignment="1">
      <alignment horizontal="center" vertical="center" wrapText="1"/>
    </xf>
    <xf numFmtId="0" fontId="10" fillId="0" borderId="4" xfId="0" applyFont="1" applyBorder="1" applyAlignment="1">
      <alignment vertical="center" wrapText="1"/>
    </xf>
    <xf numFmtId="0" fontId="10" fillId="0" borderId="9" xfId="0" applyFont="1" applyBorder="1" applyAlignment="1">
      <alignment vertical="center" wrapText="1"/>
    </xf>
    <xf numFmtId="0" fontId="11" fillId="3"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10" xfId="0" applyNumberFormat="1" applyFont="1" applyFill="1" applyBorder="1" applyAlignment="1">
      <alignment horizontal="center" vertical="center" wrapText="1"/>
    </xf>
    <xf numFmtId="0" fontId="21" fillId="21" borderId="0" xfId="6" applyFont="1" applyFill="1" applyBorder="1" applyAlignment="1">
      <alignment wrapText="1"/>
    </xf>
    <xf numFmtId="0" fontId="21" fillId="23" borderId="36" xfId="6" applyFont="1" applyFill="1" applyBorder="1" applyAlignment="1">
      <alignment wrapText="1"/>
    </xf>
    <xf numFmtId="0" fontId="21" fillId="23" borderId="52" xfId="6" applyFont="1" applyFill="1" applyBorder="1" applyAlignment="1">
      <alignment horizontal="center" vertical="center" wrapText="1"/>
    </xf>
    <xf numFmtId="0" fontId="21" fillId="23" borderId="52" xfId="6" applyFont="1" applyFill="1" applyBorder="1" applyAlignment="1">
      <alignment wrapText="1"/>
    </xf>
    <xf numFmtId="0" fontId="21" fillId="23" borderId="59" xfId="6" applyFont="1" applyFill="1" applyBorder="1" applyAlignment="1">
      <alignment wrapText="1"/>
    </xf>
    <xf numFmtId="0" fontId="21" fillId="23" borderId="74" xfId="6" applyFont="1" applyFill="1" applyBorder="1" applyAlignment="1">
      <alignment wrapText="1"/>
    </xf>
    <xf numFmtId="0" fontId="21" fillId="0" borderId="5" xfId="6" applyFont="1" applyFill="1" applyBorder="1" applyAlignment="1">
      <alignment wrapText="1"/>
    </xf>
    <xf numFmtId="0" fontId="21" fillId="23" borderId="41" xfId="6" applyFont="1" applyFill="1" applyBorder="1" applyAlignment="1">
      <alignment wrapText="1"/>
    </xf>
    <xf numFmtId="0" fontId="21" fillId="23" borderId="7" xfId="6" applyFont="1" applyFill="1" applyBorder="1" applyAlignment="1">
      <alignment horizontal="center" vertical="center" wrapText="1"/>
    </xf>
    <xf numFmtId="0" fontId="21" fillId="23" borderId="7" xfId="6" applyFont="1" applyFill="1" applyBorder="1" applyAlignment="1">
      <alignment wrapText="1"/>
    </xf>
    <xf numFmtId="0" fontId="21" fillId="23" borderId="61" xfId="6" applyFont="1" applyFill="1" applyBorder="1" applyAlignment="1">
      <alignment wrapText="1"/>
    </xf>
    <xf numFmtId="0" fontId="21" fillId="23" borderId="0" xfId="6" applyFont="1" applyFill="1" applyBorder="1" applyAlignment="1">
      <alignment wrapText="1"/>
    </xf>
    <xf numFmtId="0" fontId="21" fillId="23" borderId="46" xfId="6" applyFont="1" applyFill="1" applyBorder="1" applyAlignment="1">
      <alignment wrapText="1"/>
    </xf>
    <xf numFmtId="0" fontId="21" fillId="23" borderId="75" xfId="6" applyFont="1" applyFill="1" applyBorder="1" applyAlignment="1">
      <alignment horizontal="center" vertical="center" wrapText="1"/>
    </xf>
    <xf numFmtId="0" fontId="21" fillId="23" borderId="75" xfId="6" applyFont="1" applyFill="1" applyBorder="1" applyAlignment="1">
      <alignment wrapText="1"/>
    </xf>
    <xf numFmtId="0" fontId="21" fillId="23" borderId="76" xfId="6" applyFont="1" applyFill="1" applyBorder="1" applyAlignment="1">
      <alignment wrapText="1"/>
    </xf>
    <xf numFmtId="0" fontId="21" fillId="0" borderId="0" xfId="6" applyFont="1" applyFill="1" applyBorder="1"/>
    <xf numFmtId="0" fontId="21" fillId="21" borderId="0" xfId="6" applyFont="1" applyFill="1" applyBorder="1"/>
    <xf numFmtId="43" fontId="10" fillId="0" borderId="0" xfId="10" applyFont="1" applyAlignment="1">
      <alignment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10"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9" fontId="10" fillId="0" borderId="7"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6" xfId="0" applyFont="1" applyBorder="1" applyAlignment="1">
      <alignment vertical="center" wrapText="1"/>
    </xf>
    <xf numFmtId="0" fontId="10" fillId="0" borderId="10" xfId="0" applyFont="1" applyBorder="1" applyAlignment="1">
      <alignment horizontal="center" vertical="center" wrapText="1"/>
    </xf>
    <xf numFmtId="0" fontId="10" fillId="0" borderId="4" xfId="0" applyFont="1" applyBorder="1" applyAlignment="1">
      <alignment vertical="center" wrapText="1"/>
    </xf>
    <xf numFmtId="0" fontId="10" fillId="0" borderId="9" xfId="0" applyFont="1" applyBorder="1" applyAlignment="1">
      <alignment vertical="center" wrapText="1"/>
    </xf>
    <xf numFmtId="0" fontId="11" fillId="3"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NumberFormat="1" applyFont="1" applyBorder="1" applyAlignment="1">
      <alignment horizontal="center" vertical="center" wrapText="1"/>
    </xf>
    <xf numFmtId="10" fontId="11" fillId="0" borderId="0"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21" fillId="0" borderId="0" xfId="0" applyNumberFormat="1" applyFont="1" applyAlignment="1">
      <alignment horizontal="center" vertical="center"/>
    </xf>
    <xf numFmtId="3" fontId="22" fillId="27" borderId="7" xfId="0" applyNumberFormat="1" applyFont="1" applyFill="1" applyBorder="1" applyAlignment="1">
      <alignment horizontal="center" vertical="center" wrapText="1"/>
    </xf>
    <xf numFmtId="3" fontId="22" fillId="27" borderId="11" xfId="0" applyNumberFormat="1" applyFont="1" applyFill="1" applyBorder="1" applyAlignment="1">
      <alignment horizontal="center" vertical="center" wrapText="1"/>
    </xf>
    <xf numFmtId="14" fontId="22" fillId="27" borderId="11"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14" fontId="0" fillId="0" borderId="7" xfId="0" applyNumberFormat="1" applyBorder="1" applyAlignment="1">
      <alignment horizontal="center" vertical="center" wrapText="1"/>
    </xf>
    <xf numFmtId="9" fontId="0" fillId="0" borderId="7" xfId="2" applyFont="1" applyBorder="1" applyAlignment="1">
      <alignment horizontal="center" vertical="center" wrapText="1"/>
    </xf>
    <xf numFmtId="14" fontId="22" fillId="27" borderId="7" xfId="0" applyNumberFormat="1" applyFont="1" applyFill="1" applyBorder="1" applyAlignment="1">
      <alignment horizontal="center" vertical="center" wrapText="1"/>
    </xf>
    <xf numFmtId="44" fontId="10" fillId="0" borderId="0" xfId="0" applyNumberFormat="1" applyFont="1" applyAlignment="1">
      <alignment vertical="center" wrapText="1"/>
    </xf>
    <xf numFmtId="44" fontId="10" fillId="0" borderId="0" xfId="7" applyFont="1" applyAlignment="1">
      <alignment vertical="center" wrapText="1"/>
    </xf>
    <xf numFmtId="0" fontId="0" fillId="0" borderId="0" xfId="0" applyFont="1" applyAlignment="1">
      <alignment vertical="center"/>
    </xf>
    <xf numFmtId="0" fontId="22" fillId="15" borderId="51" xfId="0" applyFont="1" applyFill="1" applyBorder="1" applyAlignment="1">
      <alignment horizontal="center" vertical="center" wrapText="1"/>
    </xf>
    <xf numFmtId="0" fontId="29" fillId="16" borderId="33" xfId="0" applyFont="1" applyFill="1" applyBorder="1" applyAlignment="1">
      <alignment horizontal="center" vertical="center" wrapText="1"/>
    </xf>
    <xf numFmtId="0" fontId="29" fillId="16" borderId="52" xfId="0" applyFont="1" applyFill="1" applyBorder="1" applyAlignment="1">
      <alignment horizontal="center" vertical="center" wrapText="1"/>
    </xf>
    <xf numFmtId="0" fontId="29" fillId="16" borderId="53" xfId="0" applyFont="1" applyFill="1" applyBorder="1" applyAlignment="1">
      <alignment horizontal="center" vertical="center" wrapText="1"/>
    </xf>
    <xf numFmtId="0" fontId="29" fillId="11" borderId="54" xfId="0" applyFont="1" applyFill="1" applyBorder="1" applyAlignment="1">
      <alignment horizontal="center" vertical="center" wrapText="1"/>
    </xf>
    <xf numFmtId="0" fontId="29" fillId="11" borderId="55" xfId="0" applyFont="1" applyFill="1" applyBorder="1" applyAlignment="1">
      <alignment horizontal="center" vertical="center" wrapText="1"/>
    </xf>
    <xf numFmtId="0" fontId="29" fillId="11" borderId="52" xfId="0" applyFont="1" applyFill="1" applyBorder="1" applyAlignment="1">
      <alignment horizontal="center" vertical="center" wrapText="1"/>
    </xf>
    <xf numFmtId="0" fontId="29" fillId="11" borderId="56" xfId="0" applyFont="1" applyFill="1" applyBorder="1" applyAlignment="1">
      <alignment horizontal="center" vertical="center" wrapText="1"/>
    </xf>
    <xf numFmtId="0" fontId="29" fillId="12" borderId="54" xfId="0" applyFont="1" applyFill="1" applyBorder="1" applyAlignment="1">
      <alignment horizontal="center" vertical="center" wrapText="1"/>
    </xf>
    <xf numFmtId="0" fontId="29" fillId="12" borderId="55" xfId="0" applyFont="1" applyFill="1" applyBorder="1" applyAlignment="1">
      <alignment horizontal="center" vertical="center" wrapText="1"/>
    </xf>
    <xf numFmtId="0" fontId="29" fillId="12" borderId="56" xfId="0" applyFont="1" applyFill="1" applyBorder="1" applyAlignment="1">
      <alignment horizontal="center" vertical="center" wrapText="1"/>
    </xf>
    <xf numFmtId="0" fontId="30" fillId="12" borderId="57" xfId="0" applyFont="1" applyFill="1" applyBorder="1" applyAlignment="1">
      <alignment horizontal="center" vertical="center" wrapText="1"/>
    </xf>
    <xf numFmtId="0" fontId="29" fillId="13" borderId="33" xfId="0" applyFont="1" applyFill="1" applyBorder="1" applyAlignment="1">
      <alignment horizontal="center" vertical="center" wrapText="1"/>
    </xf>
    <xf numFmtId="0" fontId="29" fillId="13" borderId="55" xfId="0" applyFont="1" applyFill="1" applyBorder="1" applyAlignment="1">
      <alignment horizontal="center" vertical="center" wrapText="1"/>
    </xf>
    <xf numFmtId="0" fontId="29" fillId="14" borderId="54" xfId="0" applyFont="1" applyFill="1" applyBorder="1" applyAlignment="1">
      <alignment horizontal="center" vertical="center" wrapText="1"/>
    </xf>
    <xf numFmtId="0" fontId="29" fillId="14" borderId="58" xfId="0" applyFont="1" applyFill="1" applyBorder="1" applyAlignment="1">
      <alignment horizontal="center" vertical="center" wrapText="1"/>
    </xf>
    <xf numFmtId="0" fontId="29" fillId="14" borderId="55" xfId="0" applyFont="1" applyFill="1" applyBorder="1" applyAlignment="1">
      <alignment horizontal="center" vertical="center" wrapText="1"/>
    </xf>
    <xf numFmtId="0" fontId="29" fillId="14" borderId="59" xfId="0" applyFont="1" applyFill="1" applyBorder="1" applyAlignment="1">
      <alignment horizontal="center" vertical="center" wrapText="1"/>
    </xf>
    <xf numFmtId="0" fontId="31" fillId="17" borderId="53" xfId="0" applyFont="1" applyFill="1" applyBorder="1" applyAlignment="1">
      <alignment horizontal="center" vertical="center" wrapText="1"/>
    </xf>
    <xf numFmtId="0" fontId="29" fillId="11" borderId="57" xfId="0" applyFont="1" applyFill="1" applyBorder="1" applyAlignment="1">
      <alignment horizontal="center" vertical="center" wrapText="1"/>
    </xf>
    <xf numFmtId="0" fontId="29" fillId="13" borderId="54" xfId="0" applyFont="1" applyFill="1" applyBorder="1" applyAlignment="1">
      <alignment horizontal="center" vertical="center" wrapText="1"/>
    </xf>
    <xf numFmtId="0" fontId="29" fillId="13" borderId="35" xfId="0" applyFont="1" applyFill="1" applyBorder="1" applyAlignment="1">
      <alignment horizontal="center" vertical="center" wrapText="1"/>
    </xf>
    <xf numFmtId="0" fontId="29" fillId="15" borderId="60" xfId="0" applyFont="1" applyFill="1" applyBorder="1" applyAlignment="1">
      <alignment horizontal="center" vertical="center" wrapText="1"/>
    </xf>
    <xf numFmtId="0" fontId="32" fillId="0" borderId="0" xfId="0" applyFont="1" applyAlignment="1">
      <alignment vertical="center"/>
    </xf>
    <xf numFmtId="49" fontId="0" fillId="0" borderId="41" xfId="0" applyNumberFormat="1" applyBorder="1" applyAlignment="1">
      <alignment horizontal="left"/>
    </xf>
    <xf numFmtId="49" fontId="0" fillId="0" borderId="11" xfId="0" applyNumberFormat="1" applyFont="1" applyBorder="1" applyAlignment="1">
      <alignment horizontal="center" vertical="center"/>
    </xf>
    <xf numFmtId="0" fontId="0" fillId="0" borderId="10" xfId="0" applyBorder="1" applyAlignment="1">
      <alignment horizontal="center" vertical="center"/>
    </xf>
    <xf numFmtId="0" fontId="0" fillId="0" borderId="41"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23" fillId="0" borderId="10" xfId="0" applyFont="1" applyBorder="1" applyAlignment="1">
      <alignment horizontal="center" vertical="center"/>
    </xf>
    <xf numFmtId="0" fontId="0" fillId="0" borderId="61" xfId="0" applyBorder="1" applyAlignment="1">
      <alignment horizontal="center" vertical="center"/>
    </xf>
    <xf numFmtId="0" fontId="33" fillId="0" borderId="62" xfId="0" applyFont="1" applyBorder="1" applyAlignment="1">
      <alignment horizontal="center" vertical="center"/>
    </xf>
    <xf numFmtId="0" fontId="33" fillId="0" borderId="7" xfId="0" applyFont="1" applyBorder="1" applyAlignment="1">
      <alignment horizontal="center" vertical="center"/>
    </xf>
    <xf numFmtId="0" fontId="0" fillId="0" borderId="12" xfId="0" applyBorder="1" applyAlignment="1">
      <alignment horizontal="center" vertical="center"/>
    </xf>
    <xf numFmtId="0" fontId="33" fillId="0" borderId="61" xfId="0" applyFont="1" applyBorder="1" applyAlignment="1">
      <alignment horizontal="center" vertical="center"/>
    </xf>
    <xf numFmtId="2" fontId="23" fillId="0" borderId="41" xfId="2" applyNumberFormat="1" applyFont="1" applyBorder="1" applyAlignment="1">
      <alignment horizontal="center" vertical="center"/>
    </xf>
    <xf numFmtId="165" fontId="23" fillId="0" borderId="7" xfId="0" applyNumberFormat="1" applyFont="1" applyFill="1" applyBorder="1" applyAlignment="1">
      <alignment horizontal="center" vertical="center"/>
    </xf>
    <xf numFmtId="9" fontId="23" fillId="0" borderId="61" xfId="2" applyFont="1" applyBorder="1" applyAlignment="1">
      <alignment horizontal="center" vertical="center"/>
    </xf>
    <xf numFmtId="2" fontId="23" fillId="0" borderId="41" xfId="0" applyNumberFormat="1" applyFont="1" applyFill="1" applyBorder="1" applyAlignment="1">
      <alignment horizontal="center" vertical="center"/>
    </xf>
    <xf numFmtId="2" fontId="23" fillId="0" borderId="63" xfId="0" applyNumberFormat="1" applyFont="1" applyFill="1" applyBorder="1" applyAlignment="1">
      <alignment horizontal="center" vertical="center"/>
    </xf>
    <xf numFmtId="2" fontId="23" fillId="0" borderId="42" xfId="0" applyNumberFormat="1" applyFont="1" applyBorder="1" applyAlignment="1">
      <alignment horizontal="center" vertical="center"/>
    </xf>
    <xf numFmtId="49" fontId="0" fillId="18" borderId="41" xfId="0" applyNumberFormat="1" applyFill="1" applyBorder="1" applyAlignment="1">
      <alignment horizontal="left"/>
    </xf>
    <xf numFmtId="49" fontId="0" fillId="18" borderId="11" xfId="0" applyNumberFormat="1" applyFill="1" applyBorder="1" applyAlignment="1">
      <alignment horizontal="center" vertical="center"/>
    </xf>
    <xf numFmtId="0" fontId="0" fillId="18" borderId="10" xfId="0" applyFill="1" applyBorder="1" applyAlignment="1">
      <alignment horizontal="center" vertical="center"/>
    </xf>
    <xf numFmtId="0" fontId="0" fillId="18" borderId="41" xfId="0" applyFill="1" applyBorder="1" applyAlignment="1">
      <alignment horizontal="center" vertical="center"/>
    </xf>
    <xf numFmtId="0" fontId="0" fillId="18" borderId="7" xfId="0" applyFill="1" applyBorder="1" applyAlignment="1">
      <alignment horizontal="center" vertical="center"/>
    </xf>
    <xf numFmtId="0" fontId="23" fillId="18" borderId="10" xfId="0" applyFont="1" applyFill="1" applyBorder="1" applyAlignment="1">
      <alignment horizontal="center" vertical="center"/>
    </xf>
    <xf numFmtId="0" fontId="0" fillId="18" borderId="61" xfId="0" applyFill="1" applyBorder="1" applyAlignment="1">
      <alignment horizontal="center" vertical="center"/>
    </xf>
    <xf numFmtId="0" fontId="33" fillId="18" borderId="62" xfId="0" applyFont="1" applyFill="1" applyBorder="1" applyAlignment="1">
      <alignment horizontal="center" vertical="center"/>
    </xf>
    <xf numFmtId="0" fontId="33" fillId="18" borderId="7" xfId="0" applyFont="1" applyFill="1" applyBorder="1" applyAlignment="1">
      <alignment horizontal="center" vertical="center"/>
    </xf>
    <xf numFmtId="0" fontId="0" fillId="18" borderId="12" xfId="0" applyFill="1" applyBorder="1" applyAlignment="1">
      <alignment horizontal="center" vertical="center"/>
    </xf>
    <xf numFmtId="0" fontId="33" fillId="18" borderId="61" xfId="0" applyFont="1" applyFill="1" applyBorder="1" applyAlignment="1">
      <alignment horizontal="center" vertical="center"/>
    </xf>
    <xf numFmtId="2" fontId="23" fillId="18" borderId="41" xfId="2" applyNumberFormat="1" applyFont="1" applyFill="1" applyBorder="1" applyAlignment="1">
      <alignment horizontal="center" vertical="center"/>
    </xf>
    <xf numFmtId="165" fontId="23" fillId="18" borderId="7" xfId="0" applyNumberFormat="1" applyFont="1" applyFill="1" applyBorder="1" applyAlignment="1">
      <alignment horizontal="center" vertical="center"/>
    </xf>
    <xf numFmtId="9" fontId="23" fillId="18" borderId="61" xfId="2" applyFont="1" applyFill="1" applyBorder="1" applyAlignment="1">
      <alignment horizontal="center" vertical="center"/>
    </xf>
    <xf numFmtId="2" fontId="23" fillId="18" borderId="41" xfId="0" applyNumberFormat="1" applyFont="1" applyFill="1" applyBorder="1" applyAlignment="1">
      <alignment horizontal="center" vertical="center"/>
    </xf>
    <xf numFmtId="2" fontId="23" fillId="18" borderId="63" xfId="0" applyNumberFormat="1" applyFont="1" applyFill="1" applyBorder="1" applyAlignment="1">
      <alignment horizontal="center" vertical="center"/>
    </xf>
    <xf numFmtId="2" fontId="23" fillId="18" borderId="42" xfId="0" applyNumberFormat="1" applyFont="1" applyFill="1" applyBorder="1" applyAlignment="1">
      <alignment horizontal="center" vertical="center"/>
    </xf>
    <xf numFmtId="49" fontId="0" fillId="0" borderId="11" xfId="0" applyNumberFormat="1" applyBorder="1" applyAlignment="1">
      <alignment horizontal="center" vertical="center"/>
    </xf>
    <xf numFmtId="0" fontId="0" fillId="0" borderId="41"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0" borderId="12" xfId="0" applyFill="1" applyBorder="1" applyAlignment="1">
      <alignment horizontal="center" vertical="center"/>
    </xf>
    <xf numFmtId="2" fontId="23" fillId="0" borderId="41" xfId="0" applyNumberFormat="1" applyFont="1" applyBorder="1" applyAlignment="1">
      <alignment horizontal="center" vertical="center"/>
    </xf>
    <xf numFmtId="2" fontId="23" fillId="0" borderId="63" xfId="0" applyNumberFormat="1" applyFont="1" applyBorder="1" applyAlignment="1">
      <alignment horizontal="center" vertical="center"/>
    </xf>
    <xf numFmtId="0" fontId="33" fillId="0" borderId="7" xfId="0" applyFont="1" applyFill="1" applyBorder="1" applyAlignment="1">
      <alignment horizontal="center" vertical="center"/>
    </xf>
    <xf numFmtId="49" fontId="0" fillId="0" borderId="41" xfId="0" applyNumberFormat="1" applyFill="1" applyBorder="1" applyAlignment="1">
      <alignment horizontal="left"/>
    </xf>
    <xf numFmtId="49" fontId="0" fillId="0" borderId="11" xfId="0" applyNumberFormat="1" applyFill="1" applyBorder="1" applyAlignment="1">
      <alignment horizontal="center" vertical="center"/>
    </xf>
    <xf numFmtId="16" fontId="0" fillId="0" borderId="0" xfId="0" applyNumberFormat="1"/>
    <xf numFmtId="49" fontId="0" fillId="0" borderId="41" xfId="0" applyNumberFormat="1" applyBorder="1" applyAlignment="1">
      <alignment horizontal="left" vertical="center"/>
    </xf>
    <xf numFmtId="49" fontId="0" fillId="18" borderId="41" xfId="0" applyNumberFormat="1" applyFill="1" applyBorder="1" applyAlignment="1">
      <alignment horizontal="left" vertical="center"/>
    </xf>
    <xf numFmtId="49" fontId="0" fillId="18" borderId="64" xfId="0" applyNumberFormat="1" applyFill="1" applyBorder="1" applyAlignment="1">
      <alignment horizontal="left" vertical="center"/>
    </xf>
    <xf numFmtId="49" fontId="0" fillId="18" borderId="2" xfId="0" applyNumberFormat="1" applyFill="1" applyBorder="1" applyAlignment="1">
      <alignment horizontal="center" vertical="center"/>
    </xf>
    <xf numFmtId="0" fontId="0" fillId="18" borderId="1" xfId="0" applyFill="1" applyBorder="1" applyAlignment="1">
      <alignment horizontal="center" vertical="center"/>
    </xf>
    <xf numFmtId="0" fontId="0" fillId="18" borderId="64" xfId="0" applyFill="1" applyBorder="1" applyAlignment="1">
      <alignment horizontal="center" vertical="center"/>
    </xf>
    <xf numFmtId="0" fontId="0" fillId="18" borderId="24" xfId="0" applyFill="1" applyBorder="1" applyAlignment="1">
      <alignment horizontal="center" vertical="center"/>
    </xf>
    <xf numFmtId="0" fontId="0" fillId="18" borderId="2" xfId="0" applyFill="1" applyBorder="1" applyAlignment="1">
      <alignment horizontal="center" vertical="center"/>
    </xf>
    <xf numFmtId="0" fontId="23" fillId="18" borderId="1" xfId="0" applyFont="1" applyFill="1" applyBorder="1" applyAlignment="1">
      <alignment horizontal="center" vertical="center"/>
    </xf>
    <xf numFmtId="0" fontId="0" fillId="18" borderId="65" xfId="0" applyFill="1" applyBorder="1" applyAlignment="1">
      <alignment horizontal="center" vertical="center"/>
    </xf>
    <xf numFmtId="0" fontId="33" fillId="18" borderId="66" xfId="0" applyFont="1" applyFill="1" applyBorder="1" applyAlignment="1">
      <alignment horizontal="center" vertical="center"/>
    </xf>
    <xf numFmtId="0" fontId="33" fillId="18" borderId="24" xfId="0" applyFont="1" applyFill="1" applyBorder="1" applyAlignment="1">
      <alignment horizontal="center" vertical="center"/>
    </xf>
    <xf numFmtId="0" fontId="0" fillId="18" borderId="3" xfId="0" applyFill="1" applyBorder="1" applyAlignment="1">
      <alignment horizontal="center" vertical="center"/>
    </xf>
    <xf numFmtId="0" fontId="33" fillId="18" borderId="65" xfId="0" applyFont="1" applyFill="1" applyBorder="1" applyAlignment="1">
      <alignment horizontal="center" vertical="center"/>
    </xf>
    <xf numFmtId="2" fontId="23" fillId="18" borderId="64" xfId="2" applyNumberFormat="1" applyFont="1" applyFill="1" applyBorder="1" applyAlignment="1">
      <alignment horizontal="center" vertical="center"/>
    </xf>
    <xf numFmtId="165" fontId="23" fillId="18" borderId="24" xfId="0" applyNumberFormat="1" applyFont="1" applyFill="1" applyBorder="1" applyAlignment="1">
      <alignment horizontal="center" vertical="center"/>
    </xf>
    <xf numFmtId="9" fontId="23" fillId="18" borderId="65" xfId="2" applyFont="1" applyFill="1" applyBorder="1" applyAlignment="1">
      <alignment horizontal="center" vertical="center"/>
    </xf>
    <xf numFmtId="2" fontId="23" fillId="18" borderId="64" xfId="0" applyNumberFormat="1" applyFont="1" applyFill="1" applyBorder="1" applyAlignment="1">
      <alignment horizontal="center" vertical="center"/>
    </xf>
    <xf numFmtId="2" fontId="23" fillId="18" borderId="67" xfId="0" applyNumberFormat="1" applyFont="1" applyFill="1" applyBorder="1" applyAlignment="1">
      <alignment horizontal="center" vertical="center"/>
    </xf>
    <xf numFmtId="2" fontId="23" fillId="18" borderId="68" xfId="0" applyNumberFormat="1" applyFont="1" applyFill="1" applyBorder="1" applyAlignment="1">
      <alignment horizontal="center" vertical="center"/>
    </xf>
    <xf numFmtId="167" fontId="10" fillId="0" borderId="0" xfId="7" applyNumberFormat="1" applyFont="1" applyAlignment="1">
      <alignment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7"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27" fillId="0" borderId="36" xfId="12" applyFont="1" applyBorder="1" applyAlignment="1">
      <alignment horizontal="center" vertical="center"/>
    </xf>
    <xf numFmtId="0" fontId="27" fillId="0" borderId="37" xfId="12" applyFont="1" applyBorder="1" applyAlignment="1">
      <alignment horizontal="center" vertical="center"/>
    </xf>
    <xf numFmtId="0" fontId="28" fillId="0" borderId="0" xfId="12" applyFont="1"/>
    <xf numFmtId="0" fontId="27" fillId="0" borderId="41" xfId="12" applyFont="1" applyBorder="1" applyAlignment="1">
      <alignment horizontal="center" vertical="center"/>
    </xf>
    <xf numFmtId="0" fontId="27" fillId="0" borderId="42" xfId="12" applyFont="1" applyBorder="1" applyAlignment="1">
      <alignment horizontal="center" vertical="center"/>
    </xf>
    <xf numFmtId="0" fontId="27" fillId="0" borderId="46" xfId="12" applyFont="1" applyBorder="1" applyAlignment="1">
      <alignment horizontal="center" vertical="center"/>
    </xf>
    <xf numFmtId="49" fontId="27" fillId="0" borderId="47" xfId="12" applyNumberFormat="1" applyFont="1" applyBorder="1" applyAlignment="1">
      <alignment horizontal="center" vertical="center"/>
    </xf>
    <xf numFmtId="0" fontId="25" fillId="0" borderId="0" xfId="12" applyFont="1" applyAlignment="1">
      <alignment horizontal="center" vertical="center"/>
    </xf>
    <xf numFmtId="0" fontId="26" fillId="0" borderId="0" xfId="12" applyFont="1" applyAlignment="1">
      <alignment horizontal="center" vertical="center"/>
    </xf>
    <xf numFmtId="0" fontId="27" fillId="0" borderId="0" xfId="12" applyFont="1" applyAlignment="1">
      <alignment horizontal="center" vertical="center"/>
    </xf>
    <xf numFmtId="49" fontId="27" fillId="0" borderId="0" xfId="12" applyNumberFormat="1" applyFont="1" applyAlignment="1">
      <alignment horizontal="center" vertical="center"/>
    </xf>
    <xf numFmtId="0" fontId="3" fillId="0" borderId="0" xfId="12"/>
    <xf numFmtId="49" fontId="3" fillId="18" borderId="11" xfId="13" applyNumberFormat="1" applyFill="1" applyBorder="1" applyAlignment="1">
      <alignment horizontal="center" vertical="center"/>
    </xf>
    <xf numFmtId="0" fontId="3" fillId="18" borderId="10" xfId="13" applyFill="1" applyBorder="1" applyAlignment="1">
      <alignment horizontal="center" vertical="center"/>
    </xf>
    <xf numFmtId="0" fontId="3" fillId="18" borderId="41" xfId="13" applyFill="1" applyBorder="1" applyAlignment="1">
      <alignment horizontal="center" vertical="center"/>
    </xf>
    <xf numFmtId="0" fontId="3" fillId="18" borderId="7" xfId="13" applyFill="1" applyBorder="1" applyAlignment="1">
      <alignment horizontal="center" vertical="center"/>
    </xf>
    <xf numFmtId="0" fontId="23" fillId="18" borderId="10" xfId="13" applyFont="1" applyFill="1" applyBorder="1" applyAlignment="1">
      <alignment horizontal="center" vertical="center"/>
    </xf>
    <xf numFmtId="0" fontId="3" fillId="18" borderId="61" xfId="13" applyFill="1" applyBorder="1" applyAlignment="1">
      <alignment horizontal="center" vertical="center"/>
    </xf>
    <xf numFmtId="0" fontId="33" fillId="18" borderId="62" xfId="13" applyFont="1" applyFill="1" applyBorder="1" applyAlignment="1">
      <alignment horizontal="center" vertical="center"/>
    </xf>
    <xf numFmtId="0" fontId="33" fillId="18" borderId="7" xfId="13" applyFont="1" applyFill="1" applyBorder="1" applyAlignment="1">
      <alignment horizontal="center" vertical="center"/>
    </xf>
    <xf numFmtId="0" fontId="3" fillId="18" borderId="12" xfId="13" applyFill="1" applyBorder="1" applyAlignment="1">
      <alignment horizontal="center" vertical="center"/>
    </xf>
    <xf numFmtId="0" fontId="33" fillId="18" borderId="61" xfId="13" applyFont="1" applyFill="1" applyBorder="1" applyAlignment="1">
      <alignment horizontal="center" vertical="center"/>
    </xf>
    <xf numFmtId="0" fontId="22" fillId="16" borderId="69" xfId="12" applyFont="1" applyFill="1" applyBorder="1" applyAlignment="1">
      <alignment horizontal="center"/>
    </xf>
    <xf numFmtId="49" fontId="3" fillId="16" borderId="70" xfId="12" applyNumberFormat="1" applyFill="1" applyBorder="1" applyAlignment="1">
      <alignment horizontal="center" vertical="center"/>
    </xf>
    <xf numFmtId="0" fontId="22" fillId="16" borderId="70" xfId="12" applyFont="1" applyFill="1" applyBorder="1" applyAlignment="1">
      <alignment horizontal="center" vertical="center"/>
    </xf>
    <xf numFmtId="0" fontId="22" fillId="16" borderId="69" xfId="12" applyFont="1" applyFill="1" applyBorder="1" applyAlignment="1">
      <alignment horizontal="center" vertical="center"/>
    </xf>
    <xf numFmtId="0" fontId="22" fillId="16" borderId="71" xfId="12" applyFont="1" applyFill="1" applyBorder="1" applyAlignment="1">
      <alignment horizontal="center" vertical="center"/>
    </xf>
    <xf numFmtId="0" fontId="22" fillId="16" borderId="72" xfId="12" applyFont="1" applyFill="1" applyBorder="1" applyAlignment="1">
      <alignment horizontal="center" vertical="center"/>
    </xf>
    <xf numFmtId="0" fontId="22" fillId="16" borderId="48" xfId="12" applyFont="1" applyFill="1" applyBorder="1" applyAlignment="1">
      <alignment horizontal="center" vertical="center"/>
    </xf>
    <xf numFmtId="0" fontId="33" fillId="19" borderId="71" xfId="12" applyFont="1" applyFill="1" applyBorder="1" applyAlignment="1">
      <alignment horizontal="center" vertical="center"/>
    </xf>
    <xf numFmtId="0" fontId="22" fillId="16" borderId="73" xfId="12" applyFont="1" applyFill="1" applyBorder="1" applyAlignment="1">
      <alignment horizontal="center" vertical="center"/>
    </xf>
    <xf numFmtId="2" fontId="34" fillId="19" borderId="69" xfId="14" applyNumberFormat="1" applyFont="1" applyFill="1" applyBorder="1" applyAlignment="1">
      <alignment horizontal="center" vertical="center"/>
    </xf>
    <xf numFmtId="165" fontId="34" fillId="19" borderId="69" xfId="14" applyNumberFormat="1" applyFont="1" applyFill="1" applyBorder="1" applyAlignment="1">
      <alignment horizontal="center" vertical="center"/>
    </xf>
    <xf numFmtId="9" fontId="34" fillId="16" borderId="72" xfId="14" applyFont="1" applyFill="1" applyBorder="1" applyAlignment="1">
      <alignment horizontal="center" vertical="center"/>
    </xf>
    <xf numFmtId="2" fontId="34" fillId="19" borderId="69" xfId="12" applyNumberFormat="1" applyFont="1" applyFill="1" applyBorder="1" applyAlignment="1">
      <alignment horizontal="center" vertical="center"/>
    </xf>
    <xf numFmtId="2" fontId="34" fillId="19" borderId="50" xfId="12" applyNumberFormat="1" applyFont="1" applyFill="1" applyBorder="1" applyAlignment="1">
      <alignment horizontal="center" vertical="center"/>
    </xf>
    <xf numFmtId="2" fontId="23" fillId="19" borderId="51" xfId="12" applyNumberFormat="1" applyFont="1" applyFill="1" applyBorder="1" applyAlignment="1">
      <alignment horizontal="center" vertical="center"/>
    </xf>
    <xf numFmtId="0" fontId="22" fillId="0" borderId="0" xfId="12" applyFont="1"/>
    <xf numFmtId="2" fontId="3" fillId="0" borderId="0" xfId="12" applyNumberFormat="1"/>
    <xf numFmtId="0" fontId="31" fillId="0" borderId="48" xfId="12" applyFont="1" applyBorder="1" applyAlignment="1">
      <alignment horizontal="center" vertical="center"/>
    </xf>
    <xf numFmtId="0" fontId="31" fillId="0" borderId="49" xfId="12" applyFont="1" applyBorder="1" applyAlignment="1">
      <alignment horizontal="center" vertical="center" wrapText="1"/>
    </xf>
    <xf numFmtId="0" fontId="31" fillId="0" borderId="49" xfId="12" applyFont="1" applyBorder="1" applyAlignment="1">
      <alignment horizontal="center" vertical="center"/>
    </xf>
    <xf numFmtId="0" fontId="31" fillId="0" borderId="50" xfId="12" applyFont="1" applyBorder="1" applyAlignment="1">
      <alignment horizontal="center" vertical="center"/>
    </xf>
    <xf numFmtId="0" fontId="24" fillId="0" borderId="51" xfId="12" applyFont="1" applyBorder="1" applyAlignment="1">
      <alignment horizontal="center" vertical="center"/>
    </xf>
    <xf numFmtId="0" fontId="24" fillId="0" borderId="0" xfId="12" applyFont="1" applyAlignment="1">
      <alignment horizontal="left" vertical="center"/>
    </xf>
    <xf numFmtId="0" fontId="3" fillId="0" borderId="74" xfId="12" applyBorder="1"/>
    <xf numFmtId="0" fontId="3" fillId="0" borderId="77" xfId="12" applyBorder="1"/>
    <xf numFmtId="0" fontId="27" fillId="0" borderId="36" xfId="15" applyFont="1" applyBorder="1" applyAlignment="1">
      <alignment horizontal="center" vertical="center"/>
    </xf>
    <xf numFmtId="0" fontId="27" fillId="0" borderId="37" xfId="15" applyFont="1" applyBorder="1" applyAlignment="1">
      <alignment horizontal="center" vertical="center"/>
    </xf>
    <xf numFmtId="0" fontId="28" fillId="0" borderId="0" xfId="15" applyFont="1"/>
    <xf numFmtId="0" fontId="27" fillId="0" borderId="41" xfId="15" applyFont="1" applyBorder="1" applyAlignment="1">
      <alignment horizontal="center" vertical="center"/>
    </xf>
    <xf numFmtId="0" fontId="27" fillId="0" borderId="42" xfId="15" applyFont="1" applyBorder="1" applyAlignment="1">
      <alignment horizontal="center" vertical="center"/>
    </xf>
    <xf numFmtId="0" fontId="27" fillId="0" borderId="46" xfId="15" applyFont="1" applyBorder="1" applyAlignment="1">
      <alignment horizontal="center" vertical="center"/>
    </xf>
    <xf numFmtId="49" fontId="27" fillId="0" borderId="47" xfId="15" applyNumberFormat="1" applyFont="1" applyBorder="1" applyAlignment="1">
      <alignment horizontal="center" vertical="center"/>
    </xf>
    <xf numFmtId="0" fontId="25" fillId="0" borderId="0" xfId="15" applyFont="1" applyBorder="1" applyAlignment="1">
      <alignment horizontal="center" vertical="center"/>
    </xf>
    <xf numFmtId="0" fontId="26" fillId="0" borderId="0" xfId="15" applyFont="1" applyFill="1" applyBorder="1" applyAlignment="1">
      <alignment horizontal="center" vertical="center"/>
    </xf>
    <xf numFmtId="0" fontId="27" fillId="0" borderId="0" xfId="15" applyFont="1" applyBorder="1" applyAlignment="1">
      <alignment horizontal="center" vertical="center"/>
    </xf>
    <xf numFmtId="49" fontId="27" fillId="0" borderId="0" xfId="15" applyNumberFormat="1" applyFont="1" applyBorder="1" applyAlignment="1">
      <alignment horizontal="center" vertical="center"/>
    </xf>
    <xf numFmtId="0" fontId="3" fillId="0" borderId="0" xfId="15"/>
    <xf numFmtId="0" fontId="3" fillId="0" borderId="0" xfId="15" applyFont="1" applyAlignment="1">
      <alignment vertical="center"/>
    </xf>
    <xf numFmtId="0" fontId="22" fillId="15" borderId="51" xfId="15" applyFont="1" applyFill="1" applyBorder="1" applyAlignment="1">
      <alignment horizontal="center" vertical="center" wrapText="1"/>
    </xf>
    <xf numFmtId="0" fontId="29" fillId="16" borderId="33" xfId="15" applyFont="1" applyFill="1" applyBorder="1" applyAlignment="1">
      <alignment horizontal="center" vertical="center" wrapText="1"/>
    </xf>
    <xf numFmtId="0" fontId="29" fillId="16" borderId="52" xfId="15" applyFont="1" applyFill="1" applyBorder="1" applyAlignment="1">
      <alignment horizontal="center" vertical="center" wrapText="1"/>
    </xf>
    <xf numFmtId="0" fontId="29" fillId="16" borderId="53" xfId="15" applyFont="1" applyFill="1" applyBorder="1" applyAlignment="1">
      <alignment horizontal="center" vertical="center" wrapText="1"/>
    </xf>
    <xf numFmtId="0" fontId="29" fillId="11" borderId="54" xfId="15" applyFont="1" applyFill="1" applyBorder="1" applyAlignment="1">
      <alignment horizontal="center" vertical="center" wrapText="1"/>
    </xf>
    <xf numFmtId="0" fontId="29" fillId="11" borderId="55" xfId="15" applyFont="1" applyFill="1" applyBorder="1" applyAlignment="1">
      <alignment horizontal="center" vertical="center" wrapText="1"/>
    </xf>
    <xf numFmtId="0" fontId="29" fillId="11" borderId="52" xfId="15" applyFont="1" applyFill="1" applyBorder="1" applyAlignment="1">
      <alignment horizontal="center" vertical="center" wrapText="1"/>
    </xf>
    <xf numFmtId="0" fontId="29" fillId="11" borderId="56" xfId="15" applyFont="1" applyFill="1" applyBorder="1" applyAlignment="1">
      <alignment horizontal="center" vertical="center" wrapText="1"/>
    </xf>
    <xf numFmtId="0" fontId="29" fillId="12" borderId="54" xfId="15" applyFont="1" applyFill="1" applyBorder="1" applyAlignment="1">
      <alignment horizontal="center" vertical="center" wrapText="1"/>
    </xf>
    <xf numFmtId="0" fontId="29" fillId="12" borderId="55" xfId="15" applyFont="1" applyFill="1" applyBorder="1" applyAlignment="1">
      <alignment horizontal="center" vertical="center" wrapText="1"/>
    </xf>
    <xf numFmtId="0" fontId="29" fillId="12" borderId="56" xfId="15" applyFont="1" applyFill="1" applyBorder="1" applyAlignment="1">
      <alignment horizontal="center" vertical="center" wrapText="1"/>
    </xf>
    <xf numFmtId="0" fontId="30" fillId="12" borderId="57" xfId="15" applyFont="1" applyFill="1" applyBorder="1" applyAlignment="1">
      <alignment horizontal="center" vertical="center" wrapText="1"/>
    </xf>
    <xf numFmtId="0" fontId="29" fillId="13" borderId="33" xfId="15" applyFont="1" applyFill="1" applyBorder="1" applyAlignment="1">
      <alignment horizontal="center" vertical="center" wrapText="1"/>
    </xf>
    <xf numFmtId="0" fontId="29" fillId="13" borderId="55" xfId="15" applyFont="1" applyFill="1" applyBorder="1" applyAlignment="1">
      <alignment horizontal="center" vertical="center" wrapText="1"/>
    </xf>
    <xf numFmtId="0" fontId="29" fillId="14" borderId="54" xfId="15" applyFont="1" applyFill="1" applyBorder="1" applyAlignment="1">
      <alignment horizontal="center" vertical="center" wrapText="1"/>
    </xf>
    <xf numFmtId="0" fontId="29" fillId="14" borderId="58" xfId="15" applyFont="1" applyFill="1" applyBorder="1" applyAlignment="1">
      <alignment horizontal="center" vertical="center" wrapText="1"/>
    </xf>
    <xf numFmtId="0" fontId="29" fillId="14" borderId="55" xfId="15" applyFont="1" applyFill="1" applyBorder="1" applyAlignment="1">
      <alignment horizontal="center" vertical="center" wrapText="1"/>
    </xf>
    <xf numFmtId="0" fontId="29" fillId="14" borderId="59" xfId="15" applyFont="1" applyFill="1" applyBorder="1" applyAlignment="1">
      <alignment horizontal="center" vertical="center" wrapText="1"/>
    </xf>
    <xf numFmtId="0" fontId="31" fillId="17" borderId="53" xfId="15" applyFont="1" applyFill="1" applyBorder="1" applyAlignment="1">
      <alignment horizontal="center" vertical="center" wrapText="1"/>
    </xf>
    <xf numFmtId="0" fontId="29" fillId="11" borderId="57" xfId="15" applyFont="1" applyFill="1" applyBorder="1" applyAlignment="1">
      <alignment horizontal="center" vertical="center" wrapText="1"/>
    </xf>
    <xf numFmtId="0" fontId="29" fillId="13" borderId="54" xfId="15" applyFont="1" applyFill="1" applyBorder="1" applyAlignment="1">
      <alignment horizontal="center" vertical="center" wrapText="1"/>
    </xf>
    <xf numFmtId="0" fontId="29" fillId="13" borderId="35" xfId="15" applyFont="1" applyFill="1" applyBorder="1" applyAlignment="1">
      <alignment horizontal="center" vertical="center" wrapText="1"/>
    </xf>
    <xf numFmtId="0" fontId="29" fillId="15" borderId="60" xfId="15" applyFont="1" applyFill="1" applyBorder="1" applyAlignment="1">
      <alignment horizontal="center" vertical="center" wrapText="1"/>
    </xf>
    <xf numFmtId="0" fontId="32" fillId="0" borderId="0" xfId="15" applyFont="1" applyAlignment="1">
      <alignment vertical="center"/>
    </xf>
    <xf numFmtId="49" fontId="3" fillId="0" borderId="41" xfId="15" applyNumberFormat="1" applyBorder="1" applyAlignment="1">
      <alignment horizontal="left"/>
    </xf>
    <xf numFmtId="49" fontId="3" fillId="0" borderId="11" xfId="15" applyNumberFormat="1" applyFont="1" applyBorder="1" applyAlignment="1">
      <alignment horizontal="center" vertical="center"/>
    </xf>
    <xf numFmtId="0" fontId="3" fillId="0" borderId="10" xfId="15" applyBorder="1" applyAlignment="1">
      <alignment horizontal="center" vertical="center"/>
    </xf>
    <xf numFmtId="0" fontId="3" fillId="0" borderId="41" xfId="15" applyBorder="1" applyAlignment="1">
      <alignment horizontal="center" vertical="center"/>
    </xf>
    <xf numFmtId="0" fontId="3" fillId="0" borderId="7" xfId="15" applyBorder="1" applyAlignment="1">
      <alignment horizontal="center" vertical="center"/>
    </xf>
    <xf numFmtId="0" fontId="3" fillId="0" borderId="11" xfId="15" applyBorder="1" applyAlignment="1">
      <alignment horizontal="center" vertical="center"/>
    </xf>
    <xf numFmtId="0" fontId="23" fillId="0" borderId="10" xfId="15" applyFont="1" applyBorder="1" applyAlignment="1">
      <alignment horizontal="center" vertical="center"/>
    </xf>
    <xf numFmtId="0" fontId="3" fillId="0" borderId="61" xfId="15" applyBorder="1" applyAlignment="1">
      <alignment horizontal="center" vertical="center"/>
    </xf>
    <xf numFmtId="0" fontId="33" fillId="0" borderId="62" xfId="15" applyFont="1" applyBorder="1" applyAlignment="1">
      <alignment horizontal="center" vertical="center"/>
    </xf>
    <xf numFmtId="0" fontId="33" fillId="0" borderId="7" xfId="15" applyFont="1" applyBorder="1" applyAlignment="1">
      <alignment horizontal="center" vertical="center"/>
    </xf>
    <xf numFmtId="0" fontId="3" fillId="0" borderId="12" xfId="15" applyBorder="1" applyAlignment="1">
      <alignment horizontal="center" vertical="center"/>
    </xf>
    <xf numFmtId="0" fontId="33" fillId="0" borderId="61" xfId="15" applyFont="1" applyBorder="1" applyAlignment="1">
      <alignment horizontal="center" vertical="center"/>
    </xf>
    <xf numFmtId="2" fontId="23" fillId="0" borderId="41" xfId="16" applyNumberFormat="1" applyFont="1" applyBorder="1" applyAlignment="1">
      <alignment horizontal="center" vertical="center"/>
    </xf>
    <xf numFmtId="165" fontId="23" fillId="0" borderId="7" xfId="15" applyNumberFormat="1" applyFont="1" applyFill="1" applyBorder="1" applyAlignment="1">
      <alignment horizontal="center" vertical="center"/>
    </xf>
    <xf numFmtId="9" fontId="23" fillId="0" borderId="61" xfId="16" applyFont="1" applyBorder="1" applyAlignment="1">
      <alignment horizontal="center" vertical="center"/>
    </xf>
    <xf numFmtId="2" fontId="23" fillId="0" borderId="41" xfId="15" applyNumberFormat="1" applyFont="1" applyFill="1" applyBorder="1" applyAlignment="1">
      <alignment horizontal="center" vertical="center"/>
    </xf>
    <xf numFmtId="2" fontId="23" fillId="0" borderId="63" xfId="15" applyNumberFormat="1" applyFont="1" applyFill="1" applyBorder="1" applyAlignment="1">
      <alignment horizontal="center" vertical="center"/>
    </xf>
    <xf numFmtId="2" fontId="23" fillId="0" borderId="42" xfId="15" applyNumberFormat="1" applyFont="1" applyBorder="1" applyAlignment="1">
      <alignment horizontal="center" vertical="center"/>
    </xf>
    <xf numFmtId="49" fontId="3" fillId="18" borderId="41" xfId="15" applyNumberFormat="1" applyFill="1" applyBorder="1" applyAlignment="1">
      <alignment horizontal="left"/>
    </xf>
    <xf numFmtId="49" fontId="3" fillId="18" borderId="11" xfId="15" applyNumberFormat="1" applyFill="1" applyBorder="1" applyAlignment="1">
      <alignment horizontal="center" vertical="center"/>
    </xf>
    <xf numFmtId="0" fontId="3" fillId="18" borderId="10" xfId="15" applyFill="1" applyBorder="1" applyAlignment="1">
      <alignment horizontal="center" vertical="center"/>
    </xf>
    <xf numFmtId="0" fontId="3" fillId="18" borderId="41" xfId="15" applyFill="1" applyBorder="1" applyAlignment="1">
      <alignment horizontal="center" vertical="center"/>
    </xf>
    <xf numFmtId="0" fontId="3" fillId="18" borderId="7" xfId="15" applyFill="1" applyBorder="1" applyAlignment="1">
      <alignment horizontal="center" vertical="center"/>
    </xf>
    <xf numFmtId="0" fontId="23" fillId="18" borderId="10" xfId="15" applyFont="1" applyFill="1" applyBorder="1" applyAlignment="1">
      <alignment horizontal="center" vertical="center"/>
    </xf>
    <xf numFmtId="0" fontId="3" fillId="18" borderId="61" xfId="15" applyFill="1" applyBorder="1" applyAlignment="1">
      <alignment horizontal="center" vertical="center"/>
    </xf>
    <xf numFmtId="0" fontId="33" fillId="18" borderId="62" xfId="15" applyFont="1" applyFill="1" applyBorder="1" applyAlignment="1">
      <alignment horizontal="center" vertical="center"/>
    </xf>
    <xf numFmtId="0" fontId="33" fillId="18" borderId="7" xfId="15" applyFont="1" applyFill="1" applyBorder="1" applyAlignment="1">
      <alignment horizontal="center" vertical="center"/>
    </xf>
    <xf numFmtId="0" fontId="3" fillId="18" borderId="12" xfId="15" applyFill="1" applyBorder="1" applyAlignment="1">
      <alignment horizontal="center" vertical="center"/>
    </xf>
    <xf numFmtId="0" fontId="33" fillId="18" borderId="61" xfId="15" applyFont="1" applyFill="1" applyBorder="1" applyAlignment="1">
      <alignment horizontal="center" vertical="center"/>
    </xf>
    <xf numFmtId="2" fontId="23" fillId="18" borderId="41" xfId="16" applyNumberFormat="1" applyFont="1" applyFill="1" applyBorder="1" applyAlignment="1">
      <alignment horizontal="center" vertical="center"/>
    </xf>
    <xf numFmtId="165" fontId="23" fillId="18" borderId="7" xfId="15" applyNumberFormat="1" applyFont="1" applyFill="1" applyBorder="1" applyAlignment="1">
      <alignment horizontal="center" vertical="center"/>
    </xf>
    <xf numFmtId="9" fontId="23" fillId="18" borderId="61" xfId="16" applyFont="1" applyFill="1" applyBorder="1" applyAlignment="1">
      <alignment horizontal="center" vertical="center"/>
    </xf>
    <xf numFmtId="2" fontId="23" fillId="18" borderId="41" xfId="15" applyNumberFormat="1" applyFont="1" applyFill="1" applyBorder="1" applyAlignment="1">
      <alignment horizontal="center" vertical="center"/>
    </xf>
    <xf numFmtId="2" fontId="23" fillId="18" borderId="63" xfId="15" applyNumberFormat="1" applyFont="1" applyFill="1" applyBorder="1" applyAlignment="1">
      <alignment horizontal="center" vertical="center"/>
    </xf>
    <xf numFmtId="2" fontId="23" fillId="18" borderId="42" xfId="15" applyNumberFormat="1" applyFont="1" applyFill="1" applyBorder="1" applyAlignment="1">
      <alignment horizontal="center" vertical="center"/>
    </xf>
    <xf numFmtId="49" fontId="3" fillId="0" borderId="11" xfId="15" applyNumberFormat="1" applyBorder="1" applyAlignment="1">
      <alignment horizontal="center" vertical="center"/>
    </xf>
    <xf numFmtId="0" fontId="3" fillId="0" borderId="41" xfId="15" applyFill="1" applyBorder="1" applyAlignment="1">
      <alignment horizontal="center" vertical="center"/>
    </xf>
    <xf numFmtId="0" fontId="3" fillId="0" borderId="7" xfId="15" applyFill="1" applyBorder="1" applyAlignment="1">
      <alignment horizontal="center" vertical="center"/>
    </xf>
    <xf numFmtId="0" fontId="3" fillId="0" borderId="10" xfId="15" applyFill="1" applyBorder="1" applyAlignment="1">
      <alignment horizontal="center" vertical="center"/>
    </xf>
    <xf numFmtId="0" fontId="3" fillId="0" borderId="12" xfId="15" applyFill="1" applyBorder="1" applyAlignment="1">
      <alignment horizontal="center" vertical="center"/>
    </xf>
    <xf numFmtId="2" fontId="23" fillId="0" borderId="41" xfId="15" applyNumberFormat="1" applyFont="1" applyBorder="1" applyAlignment="1">
      <alignment horizontal="center" vertical="center"/>
    </xf>
    <xf numFmtId="2" fontId="23" fillId="0" borderId="63" xfId="15" applyNumberFormat="1" applyFont="1" applyBorder="1" applyAlignment="1">
      <alignment horizontal="center" vertical="center"/>
    </xf>
    <xf numFmtId="0" fontId="33" fillId="0" borderId="7" xfId="15" applyFont="1" applyFill="1" applyBorder="1" applyAlignment="1">
      <alignment horizontal="center" vertical="center"/>
    </xf>
    <xf numFmtId="49" fontId="3" fillId="0" borderId="41" xfId="15" applyNumberFormat="1" applyFill="1" applyBorder="1" applyAlignment="1">
      <alignment horizontal="left"/>
    </xf>
    <xf numFmtId="49" fontId="3" fillId="0" borderId="11" xfId="15" applyNumberFormat="1" applyFill="1" applyBorder="1" applyAlignment="1">
      <alignment horizontal="center" vertical="center"/>
    </xf>
    <xf numFmtId="16" fontId="3" fillId="0" borderId="0" xfId="15" applyNumberFormat="1"/>
    <xf numFmtId="49" fontId="3" fillId="0" borderId="41" xfId="15" applyNumberFormat="1" applyBorder="1" applyAlignment="1">
      <alignment horizontal="left" vertical="center"/>
    </xf>
    <xf numFmtId="49" fontId="3" fillId="18" borderId="41" xfId="15" applyNumberFormat="1" applyFill="1" applyBorder="1" applyAlignment="1">
      <alignment horizontal="left" vertical="center"/>
    </xf>
    <xf numFmtId="49" fontId="3" fillId="18" borderId="64" xfId="15" applyNumberFormat="1" applyFill="1" applyBorder="1" applyAlignment="1">
      <alignment horizontal="left" vertical="center"/>
    </xf>
    <xf numFmtId="49" fontId="3" fillId="18" borderId="2" xfId="15" applyNumberFormat="1" applyFill="1" applyBorder="1" applyAlignment="1">
      <alignment horizontal="center" vertical="center"/>
    </xf>
    <xf numFmtId="0" fontId="3" fillId="18" borderId="1" xfId="15" applyFill="1" applyBorder="1" applyAlignment="1">
      <alignment horizontal="center" vertical="center"/>
    </xf>
    <xf numFmtId="0" fontId="3" fillId="18" borderId="64" xfId="15" applyFill="1" applyBorder="1" applyAlignment="1">
      <alignment horizontal="center" vertical="center"/>
    </xf>
    <xf numFmtId="0" fontId="3" fillId="18" borderId="24" xfId="15" applyFill="1" applyBorder="1" applyAlignment="1">
      <alignment horizontal="center" vertical="center"/>
    </xf>
    <xf numFmtId="0" fontId="3" fillId="18" borderId="2" xfId="15" applyFill="1" applyBorder="1" applyAlignment="1">
      <alignment horizontal="center" vertical="center"/>
    </xf>
    <xf numFmtId="0" fontId="23" fillId="18" borderId="1" xfId="15" applyFont="1" applyFill="1" applyBorder="1" applyAlignment="1">
      <alignment horizontal="center" vertical="center"/>
    </xf>
    <xf numFmtId="0" fontId="3" fillId="18" borderId="65" xfId="15" applyFill="1" applyBorder="1" applyAlignment="1">
      <alignment horizontal="center" vertical="center"/>
    </xf>
    <xf numFmtId="0" fontId="33" fillId="18" borderId="66" xfId="15" applyFont="1" applyFill="1" applyBorder="1" applyAlignment="1">
      <alignment horizontal="center" vertical="center"/>
    </xf>
    <xf numFmtId="0" fontId="33" fillId="18" borderId="24" xfId="15" applyFont="1" applyFill="1" applyBorder="1" applyAlignment="1">
      <alignment horizontal="center" vertical="center"/>
    </xf>
    <xf numFmtId="0" fontId="3" fillId="18" borderId="3" xfId="15" applyFill="1" applyBorder="1" applyAlignment="1">
      <alignment horizontal="center" vertical="center"/>
    </xf>
    <xf numFmtId="0" fontId="33" fillId="18" borderId="65" xfId="15" applyFont="1" applyFill="1" applyBorder="1" applyAlignment="1">
      <alignment horizontal="center" vertical="center"/>
    </xf>
    <xf numFmtId="2" fontId="23" fillId="18" borderId="64" xfId="16" applyNumberFormat="1" applyFont="1" applyFill="1" applyBorder="1" applyAlignment="1">
      <alignment horizontal="center" vertical="center"/>
    </xf>
    <xf numFmtId="165" fontId="23" fillId="18" borderId="24" xfId="15" applyNumberFormat="1" applyFont="1" applyFill="1" applyBorder="1" applyAlignment="1">
      <alignment horizontal="center" vertical="center"/>
    </xf>
    <xf numFmtId="9" fontId="23" fillId="18" borderId="65" xfId="16" applyFont="1" applyFill="1" applyBorder="1" applyAlignment="1">
      <alignment horizontal="center" vertical="center"/>
    </xf>
    <xf numFmtId="2" fontId="23" fillId="18" borderId="64" xfId="15" applyNumberFormat="1" applyFont="1" applyFill="1" applyBorder="1" applyAlignment="1">
      <alignment horizontal="center" vertical="center"/>
    </xf>
    <xf numFmtId="2" fontId="23" fillId="18" borderId="67" xfId="15" applyNumberFormat="1" applyFont="1" applyFill="1" applyBorder="1" applyAlignment="1">
      <alignment horizontal="center" vertical="center"/>
    </xf>
    <xf numFmtId="2" fontId="23" fillId="18" borderId="68" xfId="15" applyNumberFormat="1" applyFont="1" applyFill="1" applyBorder="1" applyAlignment="1">
      <alignment horizontal="center" vertical="center"/>
    </xf>
    <xf numFmtId="0" fontId="22" fillId="16" borderId="69" xfId="15" applyFont="1" applyFill="1" applyBorder="1" applyAlignment="1">
      <alignment horizontal="center"/>
    </xf>
    <xf numFmtId="49" fontId="3" fillId="16" borderId="70" xfId="15" applyNumberFormat="1" applyFont="1" applyFill="1" applyBorder="1" applyAlignment="1">
      <alignment horizontal="center" vertical="center"/>
    </xf>
    <xf numFmtId="0" fontId="22" fillId="16" borderId="70" xfId="15" applyFont="1" applyFill="1" applyBorder="1" applyAlignment="1">
      <alignment horizontal="center" vertical="center"/>
    </xf>
    <xf numFmtId="0" fontId="22" fillId="16" borderId="69" xfId="15" applyFont="1" applyFill="1" applyBorder="1" applyAlignment="1">
      <alignment horizontal="center" vertical="center"/>
    </xf>
    <xf numFmtId="0" fontId="22" fillId="16" borderId="71" xfId="15" applyFont="1" applyFill="1" applyBorder="1" applyAlignment="1">
      <alignment horizontal="center" vertical="center"/>
    </xf>
    <xf numFmtId="0" fontId="22" fillId="16" borderId="72" xfId="15" applyFont="1" applyFill="1" applyBorder="1" applyAlignment="1">
      <alignment horizontal="center" vertical="center"/>
    </xf>
    <xf numFmtId="0" fontId="22" fillId="16" borderId="48" xfId="15" applyFont="1" applyFill="1" applyBorder="1" applyAlignment="1">
      <alignment horizontal="center" vertical="center"/>
    </xf>
    <xf numFmtId="0" fontId="33" fillId="19" borderId="71" xfId="15" applyFont="1" applyFill="1" applyBorder="1" applyAlignment="1">
      <alignment horizontal="center" vertical="center"/>
    </xf>
    <xf numFmtId="0" fontId="22" fillId="16" borderId="73" xfId="15" applyFont="1" applyFill="1" applyBorder="1" applyAlignment="1">
      <alignment horizontal="center" vertical="center"/>
    </xf>
    <xf numFmtId="2" fontId="34" fillId="19" borderId="69" xfId="16" applyNumberFormat="1" applyFont="1" applyFill="1" applyBorder="1" applyAlignment="1">
      <alignment horizontal="center" vertical="center"/>
    </xf>
    <xf numFmtId="165" fontId="34" fillId="19" borderId="69" xfId="16" applyNumberFormat="1" applyFont="1" applyFill="1" applyBorder="1" applyAlignment="1">
      <alignment horizontal="center" vertical="center"/>
    </xf>
    <xf numFmtId="9" fontId="34" fillId="16" borderId="72" xfId="16" applyFont="1" applyFill="1" applyBorder="1" applyAlignment="1">
      <alignment horizontal="center" vertical="center"/>
    </xf>
    <xf numFmtId="2" fontId="34" fillId="19" borderId="69" xfId="15" applyNumberFormat="1" applyFont="1" applyFill="1" applyBorder="1" applyAlignment="1">
      <alignment horizontal="center" vertical="center"/>
    </xf>
    <xf numFmtId="2" fontId="34" fillId="19" borderId="50" xfId="15" applyNumberFormat="1" applyFont="1" applyFill="1" applyBorder="1" applyAlignment="1">
      <alignment horizontal="center" vertical="center"/>
    </xf>
    <xf numFmtId="2" fontId="23" fillId="19" borderId="51" xfId="15" applyNumberFormat="1" applyFont="1" applyFill="1" applyBorder="1" applyAlignment="1">
      <alignment horizontal="center" vertical="center"/>
    </xf>
    <xf numFmtId="0" fontId="22" fillId="0" borderId="0" xfId="15" applyFont="1"/>
    <xf numFmtId="2" fontId="3" fillId="0" borderId="0" xfId="15" applyNumberFormat="1"/>
    <xf numFmtId="0" fontId="31" fillId="0" borderId="48" xfId="15" applyFont="1" applyBorder="1" applyAlignment="1">
      <alignment horizontal="center" vertical="center"/>
    </xf>
    <xf numFmtId="0" fontId="31" fillId="0" borderId="49" xfId="15" applyFont="1" applyBorder="1" applyAlignment="1">
      <alignment horizontal="center" vertical="center" wrapText="1"/>
    </xf>
    <xf numFmtId="0" fontId="31" fillId="0" borderId="49" xfId="15" applyFont="1" applyBorder="1" applyAlignment="1">
      <alignment horizontal="center" vertical="center"/>
    </xf>
    <xf numFmtId="0" fontId="31" fillId="0" borderId="50" xfId="15" applyFont="1" applyBorder="1" applyAlignment="1">
      <alignment horizontal="center" vertical="center"/>
    </xf>
    <xf numFmtId="0" fontId="24" fillId="0" borderId="51" xfId="15" applyFont="1" applyBorder="1" applyAlignment="1">
      <alignment horizontal="center" vertical="center"/>
    </xf>
    <xf numFmtId="0" fontId="3" fillId="0" borderId="0" xfId="15" applyFill="1"/>
    <xf numFmtId="0" fontId="24" fillId="0" borderId="0" xfId="15" applyFont="1" applyAlignment="1">
      <alignment horizontal="left" vertical="center"/>
    </xf>
    <xf numFmtId="0" fontId="3" fillId="0" borderId="74" xfId="15" applyFill="1" applyBorder="1"/>
    <xf numFmtId="0" fontId="3" fillId="0" borderId="77" xfId="15" applyFill="1" applyBorder="1"/>
    <xf numFmtId="0" fontId="27" fillId="0" borderId="36" xfId="19" applyFont="1" applyBorder="1" applyAlignment="1">
      <alignment horizontal="center" vertical="center"/>
    </xf>
    <xf numFmtId="0" fontId="27" fillId="0" borderId="37" xfId="19" applyFont="1" applyBorder="1" applyAlignment="1">
      <alignment horizontal="center" vertical="center"/>
    </xf>
    <xf numFmtId="0" fontId="28" fillId="0" borderId="0" xfId="19" applyFont="1"/>
    <xf numFmtId="0" fontId="27" fillId="0" borderId="41" xfId="19" applyFont="1" applyBorder="1" applyAlignment="1">
      <alignment horizontal="center" vertical="center"/>
    </xf>
    <xf numFmtId="0" fontId="27" fillId="0" borderId="42" xfId="19" applyFont="1" applyBorder="1" applyAlignment="1">
      <alignment horizontal="center" vertical="center"/>
    </xf>
    <xf numFmtId="0" fontId="27" fillId="0" borderId="46" xfId="19" applyFont="1" applyBorder="1" applyAlignment="1">
      <alignment horizontal="center" vertical="center"/>
    </xf>
    <xf numFmtId="49" fontId="27" fillId="0" borderId="47" xfId="19" applyNumberFormat="1" applyFont="1" applyBorder="1" applyAlignment="1">
      <alignment horizontal="center" vertical="center"/>
    </xf>
    <xf numFmtId="0" fontId="25" fillId="0" borderId="0" xfId="19" applyFont="1" applyBorder="1" applyAlignment="1">
      <alignment horizontal="center" vertical="center"/>
    </xf>
    <xf numFmtId="0" fontId="26" fillId="0" borderId="0" xfId="19" applyFont="1" applyFill="1" applyBorder="1" applyAlignment="1">
      <alignment horizontal="center" vertical="center"/>
    </xf>
    <xf numFmtId="0" fontId="27" fillId="0" borderId="0" xfId="19" applyFont="1" applyBorder="1" applyAlignment="1">
      <alignment horizontal="center" vertical="center"/>
    </xf>
    <xf numFmtId="49" fontId="27" fillId="0" borderId="0" xfId="19" applyNumberFormat="1" applyFont="1" applyBorder="1" applyAlignment="1">
      <alignment horizontal="center" vertical="center"/>
    </xf>
    <xf numFmtId="0" fontId="1" fillId="0" borderId="0" xfId="19"/>
    <xf numFmtId="0" fontId="1" fillId="0" borderId="0" xfId="19" applyFont="1" applyAlignment="1">
      <alignment vertical="center"/>
    </xf>
    <xf numFmtId="0" fontId="29" fillId="16" borderId="54" xfId="19" applyFont="1" applyFill="1" applyBorder="1" applyAlignment="1">
      <alignment horizontal="center" vertical="center" wrapText="1"/>
    </xf>
    <xf numFmtId="0" fontId="40" fillId="16" borderId="53" xfId="19" applyFont="1" applyFill="1" applyBorder="1" applyAlignment="1">
      <alignment horizontal="center" vertical="center" wrapText="1"/>
    </xf>
    <xf numFmtId="0" fontId="29" fillId="11" borderId="54" xfId="19" applyFont="1" applyFill="1" applyBorder="1" applyAlignment="1">
      <alignment horizontal="center" vertical="center" wrapText="1"/>
    </xf>
    <xf numFmtId="0" fontId="29" fillId="11" borderId="55" xfId="19" applyFont="1" applyFill="1" applyBorder="1" applyAlignment="1">
      <alignment horizontal="center" vertical="center" wrapText="1"/>
    </xf>
    <xf numFmtId="0" fontId="29" fillId="11" borderId="52" xfId="19" applyFont="1" applyFill="1" applyBorder="1" applyAlignment="1">
      <alignment horizontal="center" vertical="center" wrapText="1"/>
    </xf>
    <xf numFmtId="0" fontId="29" fillId="11" borderId="59" xfId="19" applyFont="1" applyFill="1" applyBorder="1" applyAlignment="1">
      <alignment horizontal="center" vertical="center" wrapText="1"/>
    </xf>
    <xf numFmtId="0" fontId="29" fillId="12" borderId="58" xfId="19" applyFont="1" applyFill="1" applyBorder="1" applyAlignment="1">
      <alignment horizontal="center" vertical="center" wrapText="1"/>
    </xf>
    <xf numFmtId="0" fontId="29" fillId="12" borderId="55" xfId="19" applyFont="1" applyFill="1" applyBorder="1" applyAlignment="1">
      <alignment horizontal="center" vertical="center" wrapText="1"/>
    </xf>
    <xf numFmtId="0" fontId="29" fillId="12" borderId="59" xfId="19" applyFont="1" applyFill="1" applyBorder="1" applyAlignment="1">
      <alignment horizontal="center" vertical="center" wrapText="1"/>
    </xf>
    <xf numFmtId="0" fontId="29" fillId="14" borderId="58" xfId="19" applyFont="1" applyFill="1" applyBorder="1" applyAlignment="1">
      <alignment horizontal="center" vertical="center" wrapText="1"/>
    </xf>
    <xf numFmtId="0" fontId="29" fillId="14" borderId="55" xfId="19" applyFont="1" applyFill="1" applyBorder="1" applyAlignment="1">
      <alignment horizontal="center" vertical="center" wrapText="1"/>
    </xf>
    <xf numFmtId="0" fontId="29" fillId="14" borderId="59" xfId="19" applyFont="1" applyFill="1" applyBorder="1" applyAlignment="1">
      <alignment horizontal="center" vertical="center" wrapText="1"/>
    </xf>
    <xf numFmtId="0" fontId="31" fillId="17" borderId="58" xfId="19" applyFont="1" applyFill="1" applyBorder="1" applyAlignment="1">
      <alignment horizontal="center" vertical="center" wrapText="1"/>
    </xf>
    <xf numFmtId="0" fontId="31" fillId="17" borderId="55" xfId="19" applyFont="1" applyFill="1" applyBorder="1" applyAlignment="1">
      <alignment horizontal="center" vertical="center" wrapText="1"/>
    </xf>
    <xf numFmtId="0" fontId="31" fillId="17" borderId="53" xfId="19" applyFont="1" applyFill="1" applyBorder="1" applyAlignment="1">
      <alignment horizontal="center" vertical="center" wrapText="1"/>
    </xf>
    <xf numFmtId="0" fontId="29" fillId="11" borderId="35" xfId="19" applyFont="1" applyFill="1" applyBorder="1" applyAlignment="1">
      <alignment horizontal="center" vertical="center" wrapText="1"/>
    </xf>
    <xf numFmtId="0" fontId="29" fillId="14" borderId="54" xfId="19" applyFont="1" applyFill="1" applyBorder="1" applyAlignment="1">
      <alignment horizontal="center" vertical="center" wrapText="1"/>
    </xf>
    <xf numFmtId="0" fontId="29" fillId="14" borderId="35" xfId="19" applyFont="1" applyFill="1" applyBorder="1" applyAlignment="1">
      <alignment horizontal="center" vertical="center" wrapText="1"/>
    </xf>
    <xf numFmtId="0" fontId="32" fillId="0" borderId="0" xfId="19" applyFont="1" applyAlignment="1">
      <alignment vertical="center"/>
    </xf>
    <xf numFmtId="17" fontId="1" fillId="0" borderId="41" xfId="19" applyNumberFormat="1" applyBorder="1" applyAlignment="1">
      <alignment horizontal="left"/>
    </xf>
    <xf numFmtId="0" fontId="1" fillId="0" borderId="10" xfId="19" applyBorder="1" applyAlignment="1">
      <alignment horizontal="center" vertical="center"/>
    </xf>
    <xf numFmtId="0" fontId="1" fillId="0" borderId="41" xfId="19" applyBorder="1" applyAlignment="1">
      <alignment horizontal="center" vertical="center"/>
    </xf>
    <xf numFmtId="0" fontId="1" fillId="0" borderId="7" xfId="19" applyBorder="1" applyAlignment="1">
      <alignment horizontal="center" vertical="center"/>
    </xf>
    <xf numFmtId="0" fontId="1" fillId="0" borderId="63" xfId="19" applyBorder="1" applyAlignment="1">
      <alignment horizontal="center" vertical="center"/>
    </xf>
    <xf numFmtId="0" fontId="1" fillId="0" borderId="12" xfId="19" applyBorder="1" applyAlignment="1">
      <alignment horizontal="center" vertical="center"/>
    </xf>
    <xf numFmtId="0" fontId="23" fillId="0" borderId="61" xfId="19" applyFont="1" applyBorder="1" applyAlignment="1">
      <alignment horizontal="center" vertical="center"/>
    </xf>
    <xf numFmtId="0" fontId="23" fillId="0" borderId="10" xfId="19" applyFont="1" applyBorder="1" applyAlignment="1">
      <alignment horizontal="center" vertical="center"/>
    </xf>
    <xf numFmtId="0" fontId="23" fillId="0" borderId="41" xfId="19" applyFont="1" applyBorder="1" applyAlignment="1">
      <alignment horizontal="center" vertical="center"/>
    </xf>
    <xf numFmtId="0" fontId="23" fillId="0" borderId="12" xfId="19" applyFont="1" applyBorder="1" applyAlignment="1">
      <alignment horizontal="center" vertical="center"/>
    </xf>
    <xf numFmtId="0" fontId="23" fillId="0" borderId="7" xfId="19" applyFont="1" applyBorder="1" applyAlignment="1">
      <alignment horizontal="center" vertical="center"/>
    </xf>
    <xf numFmtId="0" fontId="23" fillId="0" borderId="63" xfId="19" applyFont="1" applyBorder="1" applyAlignment="1">
      <alignment horizontal="center" vertical="center"/>
    </xf>
    <xf numFmtId="17" fontId="1" fillId="18" borderId="41" xfId="19" applyNumberFormat="1" applyFill="1" applyBorder="1" applyAlignment="1">
      <alignment horizontal="left"/>
    </xf>
    <xf numFmtId="0" fontId="1" fillId="18" borderId="10" xfId="19" applyFill="1" applyBorder="1" applyAlignment="1">
      <alignment horizontal="center" vertical="center"/>
    </xf>
    <xf numFmtId="0" fontId="1" fillId="18" borderId="41" xfId="19" applyFill="1" applyBorder="1" applyAlignment="1">
      <alignment horizontal="center" vertical="center"/>
    </xf>
    <xf numFmtId="0" fontId="1" fillId="18" borderId="7" xfId="19" applyFill="1" applyBorder="1" applyAlignment="1">
      <alignment horizontal="center" vertical="center"/>
    </xf>
    <xf numFmtId="0" fontId="1" fillId="18" borderId="61" xfId="19" applyFill="1" applyBorder="1" applyAlignment="1">
      <alignment horizontal="center" vertical="center"/>
    </xf>
    <xf numFmtId="0" fontId="1" fillId="18" borderId="12" xfId="19" applyFill="1" applyBorder="1" applyAlignment="1">
      <alignment horizontal="center" vertical="center"/>
    </xf>
    <xf numFmtId="0" fontId="23" fillId="18" borderId="61" xfId="19" applyFont="1" applyFill="1" applyBorder="1" applyAlignment="1">
      <alignment horizontal="center" vertical="center"/>
    </xf>
    <xf numFmtId="0" fontId="23" fillId="18" borderId="10" xfId="19" applyFont="1" applyFill="1" applyBorder="1" applyAlignment="1">
      <alignment horizontal="center" vertical="center"/>
    </xf>
    <xf numFmtId="0" fontId="23" fillId="18" borderId="41" xfId="19" applyFont="1" applyFill="1" applyBorder="1" applyAlignment="1">
      <alignment horizontal="center" vertical="center"/>
    </xf>
    <xf numFmtId="0" fontId="23" fillId="18" borderId="12" xfId="19" applyFont="1" applyFill="1" applyBorder="1" applyAlignment="1">
      <alignment horizontal="center" vertical="center"/>
    </xf>
    <xf numFmtId="0" fontId="23" fillId="18" borderId="7" xfId="19" applyFont="1" applyFill="1" applyBorder="1" applyAlignment="1">
      <alignment horizontal="center" vertical="center"/>
    </xf>
    <xf numFmtId="0" fontId="23" fillId="18" borderId="63" xfId="19" applyFont="1" applyFill="1" applyBorder="1" applyAlignment="1">
      <alignment horizontal="center" vertical="center"/>
    </xf>
    <xf numFmtId="0" fontId="1" fillId="0" borderId="41" xfId="19" applyFill="1" applyBorder="1" applyAlignment="1">
      <alignment horizontal="center" vertical="center"/>
    </xf>
    <xf numFmtId="0" fontId="1" fillId="0" borderId="7" xfId="19" applyFill="1" applyBorder="1" applyAlignment="1">
      <alignment horizontal="center" vertical="center"/>
    </xf>
    <xf numFmtId="0" fontId="1" fillId="0" borderId="61" xfId="19" applyFill="1" applyBorder="1" applyAlignment="1">
      <alignment horizontal="center" vertical="center"/>
    </xf>
    <xf numFmtId="0" fontId="1" fillId="0" borderId="12" xfId="19" applyFill="1" applyBorder="1" applyAlignment="1">
      <alignment horizontal="center" vertical="center"/>
    </xf>
    <xf numFmtId="17" fontId="1" fillId="0" borderId="41" xfId="19" applyNumberFormat="1" applyFill="1" applyBorder="1" applyAlignment="1">
      <alignment horizontal="left"/>
    </xf>
    <xf numFmtId="17" fontId="1" fillId="0" borderId="41" xfId="19" applyNumberFormat="1" applyBorder="1" applyAlignment="1">
      <alignment horizontal="left" vertical="center"/>
    </xf>
    <xf numFmtId="0" fontId="1" fillId="0" borderId="61" xfId="19" applyBorder="1" applyAlignment="1">
      <alignment horizontal="center" vertical="center"/>
    </xf>
    <xf numFmtId="17" fontId="1" fillId="18" borderId="41" xfId="19" applyNumberFormat="1" applyFill="1" applyBorder="1" applyAlignment="1">
      <alignment horizontal="left" vertical="center"/>
    </xf>
    <xf numFmtId="0" fontId="1" fillId="18" borderId="63" xfId="19" applyFill="1" applyBorder="1" applyAlignment="1">
      <alignment horizontal="center" vertical="center"/>
    </xf>
    <xf numFmtId="0" fontId="22" fillId="16" borderId="46" xfId="19" applyFont="1" applyFill="1" applyBorder="1" applyAlignment="1">
      <alignment horizontal="center"/>
    </xf>
    <xf numFmtId="0" fontId="22" fillId="16" borderId="79" xfId="19" applyFont="1" applyFill="1" applyBorder="1" applyAlignment="1">
      <alignment horizontal="center" vertical="center"/>
    </xf>
    <xf numFmtId="0" fontId="22" fillId="16" borderId="46" xfId="19" applyFont="1" applyFill="1" applyBorder="1" applyAlignment="1">
      <alignment horizontal="center" vertical="center"/>
    </xf>
    <xf numFmtId="0" fontId="22" fillId="16" borderId="75" xfId="19" applyFont="1" applyFill="1" applyBorder="1" applyAlignment="1">
      <alignment horizontal="center" vertical="center"/>
    </xf>
    <xf numFmtId="0" fontId="22" fillId="16" borderId="76" xfId="19" applyFont="1" applyFill="1" applyBorder="1" applyAlignment="1">
      <alignment horizontal="center" vertical="center"/>
    </xf>
    <xf numFmtId="0" fontId="22" fillId="16" borderId="80" xfId="19" applyFont="1" applyFill="1" applyBorder="1" applyAlignment="1">
      <alignment horizontal="center" vertical="center"/>
    </xf>
    <xf numFmtId="0" fontId="22" fillId="16" borderId="81" xfId="19" applyFont="1" applyFill="1" applyBorder="1" applyAlignment="1">
      <alignment horizontal="center" vertical="center"/>
    </xf>
    <xf numFmtId="0" fontId="22" fillId="0" borderId="0" xfId="19" applyFont="1"/>
    <xf numFmtId="0" fontId="29" fillId="14" borderId="32" xfId="19" applyFont="1" applyFill="1" applyBorder="1" applyAlignment="1">
      <alignment horizontal="center"/>
    </xf>
    <xf numFmtId="0" fontId="32" fillId="0" borderId="0" xfId="19" applyFont="1"/>
    <xf numFmtId="0" fontId="29" fillId="11" borderId="7" xfId="19" applyFont="1" applyFill="1" applyBorder="1" applyAlignment="1">
      <alignment horizontal="center" vertical="center" wrapText="1"/>
    </xf>
    <xf numFmtId="0" fontId="29" fillId="14" borderId="7" xfId="19" applyFont="1" applyFill="1" applyBorder="1" applyAlignment="1">
      <alignment horizontal="center" vertical="center" wrapText="1"/>
    </xf>
    <xf numFmtId="0" fontId="29" fillId="14" borderId="61" xfId="19" applyFont="1" applyFill="1" applyBorder="1" applyAlignment="1">
      <alignment horizontal="center" vertical="center" wrapText="1"/>
    </xf>
    <xf numFmtId="0" fontId="32" fillId="0" borderId="0" xfId="19" applyFont="1" applyAlignment="1">
      <alignment horizontal="center" vertical="center" wrapText="1"/>
    </xf>
    <xf numFmtId="0" fontId="23" fillId="0" borderId="46" xfId="19" applyFont="1" applyBorder="1" applyAlignment="1">
      <alignment horizontal="center" vertical="center"/>
    </xf>
    <xf numFmtId="0" fontId="23" fillId="0" borderId="75" xfId="19" applyFont="1" applyBorder="1" applyAlignment="1">
      <alignment horizontal="center" vertical="center"/>
    </xf>
    <xf numFmtId="1" fontId="23" fillId="0" borderId="75" xfId="19" applyNumberFormat="1" applyFont="1" applyBorder="1" applyAlignment="1">
      <alignment horizontal="center" vertical="center"/>
    </xf>
    <xf numFmtId="0" fontId="23" fillId="0" borderId="76" xfId="19" applyFont="1" applyBorder="1" applyAlignment="1">
      <alignment horizontal="center" vertical="center"/>
    </xf>
    <xf numFmtId="0" fontId="1" fillId="0" borderId="0" xfId="19" applyAlignment="1">
      <alignment horizontal="center" vertical="center"/>
    </xf>
    <xf numFmtId="0" fontId="23" fillId="0" borderId="64" xfId="19" applyFont="1" applyBorder="1" applyAlignment="1">
      <alignment horizontal="center" vertical="center"/>
    </xf>
    <xf numFmtId="0" fontId="23" fillId="0" borderId="24" xfId="19" applyFont="1" applyBorder="1" applyAlignment="1">
      <alignment horizontal="center" vertical="center"/>
    </xf>
    <xf numFmtId="0" fontId="23" fillId="0" borderId="65" xfId="19" applyFont="1" applyBorder="1" applyAlignment="1">
      <alignment horizontal="center" vertical="center"/>
    </xf>
    <xf numFmtId="9" fontId="41" fillId="29" borderId="52" xfId="19" applyNumberFormat="1" applyFont="1" applyFill="1" applyBorder="1" applyAlignment="1">
      <alignment horizontal="center" vertical="center"/>
    </xf>
    <xf numFmtId="9" fontId="24" fillId="29" borderId="52" xfId="19" applyNumberFormat="1" applyFont="1" applyFill="1" applyBorder="1" applyAlignment="1">
      <alignment horizontal="center" vertical="center"/>
    </xf>
    <xf numFmtId="2" fontId="24" fillId="29" borderId="52" xfId="19" applyNumberFormat="1" applyFont="1" applyFill="1" applyBorder="1" applyAlignment="1">
      <alignment horizontal="center" vertical="center"/>
    </xf>
    <xf numFmtId="0" fontId="24" fillId="29" borderId="75" xfId="19" applyFont="1" applyFill="1" applyBorder="1" applyAlignment="1">
      <alignment horizontal="center" vertical="center"/>
    </xf>
    <xf numFmtId="49" fontId="10" fillId="0" borderId="7"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49" fontId="9" fillId="2" borderId="11" xfId="0" applyNumberFormat="1" applyFont="1" applyFill="1" applyBorder="1" applyAlignment="1">
      <alignment horizontal="center" vertical="center" wrapText="1"/>
    </xf>
    <xf numFmtId="49" fontId="9" fillId="2" borderId="12" xfId="0" applyNumberFormat="1" applyFont="1" applyFill="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2" xfId="0" applyNumberFormat="1" applyFont="1" applyBorder="1" applyAlignment="1">
      <alignment horizontal="center" vertical="center" wrapText="1"/>
    </xf>
    <xf numFmtId="0" fontId="16" fillId="2" borderId="10" xfId="0" applyNumberFormat="1" applyFont="1" applyFill="1" applyBorder="1" applyAlignment="1">
      <alignment horizontal="center" vertical="center" wrapText="1"/>
    </xf>
    <xf numFmtId="0" fontId="16" fillId="2" borderId="11" xfId="0" applyNumberFormat="1" applyFont="1" applyFill="1" applyBorder="1" applyAlignment="1">
      <alignment horizontal="center" vertical="center" wrapText="1"/>
    </xf>
    <xf numFmtId="0" fontId="16" fillId="2" borderId="12"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8" fillId="0" borderId="3" xfId="0" applyNumberFormat="1" applyFont="1" applyFill="1" applyBorder="1" applyAlignment="1">
      <alignment horizontal="center" vertical="center" wrapText="1"/>
    </xf>
    <xf numFmtId="0" fontId="18" fillId="0" borderId="5"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0" fontId="18" fillId="0" borderId="8" xfId="0" applyNumberFormat="1" applyFont="1" applyFill="1" applyBorder="1" applyAlignment="1">
      <alignment horizontal="center" vertical="center" wrapText="1"/>
    </xf>
    <xf numFmtId="0" fontId="18" fillId="0" borderId="6" xfId="0" applyNumberFormat="1" applyFont="1" applyFill="1" applyBorder="1" applyAlignment="1">
      <alignment horizontal="center" vertical="center" wrapText="1"/>
    </xf>
    <xf numFmtId="0" fontId="18" fillId="0" borderId="9"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0" fontId="10" fillId="0" borderId="0" xfId="0" applyNumberFormat="1" applyFont="1" applyFill="1" applyBorder="1" applyAlignment="1">
      <alignment vertical="center" wrapText="1"/>
    </xf>
    <xf numFmtId="15" fontId="10" fillId="0" borderId="10"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1" fontId="10" fillId="0" borderId="7" xfId="2" applyNumberFormat="1" applyFont="1" applyFill="1" applyBorder="1" applyAlignment="1">
      <alignment horizontal="center" vertical="center" wrapText="1"/>
    </xf>
    <xf numFmtId="0" fontId="21" fillId="5" borderId="7" xfId="0" applyNumberFormat="1" applyFont="1" applyFill="1" applyBorder="1" applyAlignment="1">
      <alignment horizontal="center" vertical="center" wrapText="1"/>
    </xf>
    <xf numFmtId="0" fontId="21" fillId="6" borderId="7" xfId="0" applyNumberFormat="1" applyFont="1" applyFill="1" applyBorder="1" applyAlignment="1">
      <alignment horizontal="center" vertical="center" wrapText="1"/>
    </xf>
    <xf numFmtId="0" fontId="21" fillId="7" borderId="7" xfId="0" applyNumberFormat="1" applyFont="1" applyFill="1" applyBorder="1" applyAlignment="1">
      <alignment horizontal="center" vertical="center" wrapText="1"/>
    </xf>
    <xf numFmtId="0" fontId="9" fillId="2" borderId="10" xfId="0" applyNumberFormat="1" applyFont="1" applyFill="1" applyBorder="1" applyAlignment="1">
      <alignment horizontal="center" vertical="center" wrapText="1"/>
    </xf>
    <xf numFmtId="0" fontId="9" fillId="2" borderId="11" xfId="0" applyNumberFormat="1" applyFont="1" applyFill="1" applyBorder="1" applyAlignment="1">
      <alignment horizontal="center" vertical="center" wrapText="1"/>
    </xf>
    <xf numFmtId="0" fontId="9" fillId="2" borderId="12" xfId="0" applyNumberFormat="1" applyFont="1" applyFill="1" applyBorder="1" applyAlignment="1">
      <alignment horizontal="center" vertical="center" wrapText="1"/>
    </xf>
    <xf numFmtId="0" fontId="10" fillId="0" borderId="2" xfId="0" applyNumberFormat="1" applyFont="1" applyFill="1" applyBorder="1" applyAlignment="1">
      <alignment vertical="center" wrapText="1"/>
    </xf>
    <xf numFmtId="0" fontId="10" fillId="0" borderId="25" xfId="0" applyNumberFormat="1" applyFont="1" applyFill="1" applyBorder="1" applyAlignment="1">
      <alignment vertical="center" wrapText="1"/>
    </xf>
    <xf numFmtId="0" fontId="11" fillId="0" borderId="5" xfId="0" applyNumberFormat="1" applyFont="1" applyFill="1" applyBorder="1" applyAlignment="1">
      <alignment horizontal="left" vertical="center" wrapText="1"/>
    </xf>
    <xf numFmtId="0" fontId="11" fillId="0" borderId="13" xfId="0" applyNumberFormat="1" applyFont="1" applyFill="1" applyBorder="1" applyAlignment="1">
      <alignment horizontal="left" vertical="center" wrapText="1"/>
    </xf>
    <xf numFmtId="0" fontId="10" fillId="0" borderId="14" xfId="0" applyNumberFormat="1" applyFont="1" applyFill="1" applyBorder="1" applyAlignment="1">
      <alignment vertical="center" wrapText="1"/>
    </xf>
    <xf numFmtId="0" fontId="10" fillId="0" borderId="15" xfId="0" applyNumberFormat="1" applyFont="1" applyFill="1" applyBorder="1" applyAlignment="1">
      <alignment vertical="center" wrapText="1"/>
    </xf>
    <xf numFmtId="0" fontId="10" fillId="0" borderId="10"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wrapText="1"/>
    </xf>
    <xf numFmtId="0" fontId="10" fillId="0" borderId="16" xfId="0" applyNumberFormat="1" applyFont="1" applyFill="1" applyBorder="1" applyAlignment="1">
      <alignment vertical="center" wrapText="1"/>
    </xf>
    <xf numFmtId="0" fontId="10" fillId="0" borderId="4" xfId="0" applyNumberFormat="1" applyFont="1" applyFill="1" applyBorder="1" applyAlignment="1">
      <alignment vertical="center" wrapText="1"/>
    </xf>
    <xf numFmtId="0" fontId="11" fillId="0" borderId="17" xfId="0" applyNumberFormat="1" applyFont="1" applyFill="1" applyBorder="1" applyAlignment="1">
      <alignment horizontal="justify" vertical="center" wrapText="1"/>
    </xf>
    <xf numFmtId="0" fontId="11" fillId="0" borderId="18" xfId="0" applyNumberFormat="1" applyFont="1" applyFill="1" applyBorder="1" applyAlignment="1">
      <alignment horizontal="justify" vertical="center" wrapText="1"/>
    </xf>
    <xf numFmtId="0" fontId="11" fillId="0" borderId="19" xfId="0" applyNumberFormat="1" applyFont="1" applyFill="1" applyBorder="1" applyAlignment="1">
      <alignment horizontal="justify" vertical="center" wrapText="1"/>
    </xf>
    <xf numFmtId="0" fontId="11" fillId="3" borderId="20" xfId="0" applyNumberFormat="1" applyFont="1" applyFill="1" applyBorder="1" applyAlignment="1">
      <alignment horizontal="left" vertical="center" wrapText="1"/>
    </xf>
    <xf numFmtId="0" fontId="11" fillId="3" borderId="21" xfId="0" applyNumberFormat="1" applyFont="1" applyFill="1" applyBorder="1" applyAlignment="1">
      <alignment horizontal="left" vertical="center" wrapText="1"/>
    </xf>
    <xf numFmtId="0" fontId="11" fillId="3" borderId="22" xfId="0" applyNumberFormat="1" applyFont="1" applyFill="1" applyBorder="1" applyAlignment="1">
      <alignment horizontal="left" vertical="center" wrapText="1"/>
    </xf>
    <xf numFmtId="0" fontId="10" fillId="0" borderId="14" xfId="0" applyNumberFormat="1" applyFont="1" applyFill="1" applyBorder="1" applyAlignment="1">
      <alignment horizontal="justify" vertical="center" wrapText="1"/>
    </xf>
    <xf numFmtId="0" fontId="10" fillId="0" borderId="23" xfId="0" applyNumberFormat="1" applyFont="1" applyFill="1" applyBorder="1" applyAlignment="1">
      <alignment horizontal="justify" vertical="center" wrapText="1"/>
    </xf>
    <xf numFmtId="0" fontId="10" fillId="0" borderId="15" xfId="0" applyNumberFormat="1" applyFont="1" applyFill="1" applyBorder="1" applyAlignment="1">
      <alignment horizontal="justify" vertical="center" wrapText="1"/>
    </xf>
    <xf numFmtId="0" fontId="10" fillId="0" borderId="6" xfId="0" applyNumberFormat="1" applyFont="1" applyFill="1" applyBorder="1" applyAlignment="1">
      <alignment vertical="center" wrapText="1"/>
    </xf>
    <xf numFmtId="0" fontId="10" fillId="0" borderId="24" xfId="0" applyNumberFormat="1" applyFont="1" applyFill="1" applyBorder="1" applyAlignment="1">
      <alignment horizontal="justify" vertical="center" wrapText="1"/>
    </xf>
    <xf numFmtId="0" fontId="10" fillId="0" borderId="1" xfId="0" applyNumberFormat="1" applyFont="1" applyFill="1" applyBorder="1" applyAlignment="1">
      <alignment vertical="center" wrapText="1"/>
    </xf>
    <xf numFmtId="0" fontId="10" fillId="0" borderId="3" xfId="0" applyNumberFormat="1" applyFont="1" applyFill="1" applyBorder="1" applyAlignment="1">
      <alignment vertical="center" wrapText="1"/>
    </xf>
    <xf numFmtId="0" fontId="17" fillId="3" borderId="8" xfId="0" applyNumberFormat="1" applyFont="1" applyFill="1" applyBorder="1" applyAlignment="1">
      <alignment horizontal="left" vertical="center" wrapText="1"/>
    </xf>
    <xf numFmtId="0" fontId="17" fillId="3" borderId="6" xfId="0" applyNumberFormat="1" applyFont="1" applyFill="1" applyBorder="1" applyAlignment="1">
      <alignment horizontal="left" vertical="center" wrapText="1"/>
    </xf>
    <xf numFmtId="0" fontId="17" fillId="3" borderId="9" xfId="0" applyNumberFormat="1" applyFont="1" applyFill="1" applyBorder="1" applyAlignment="1">
      <alignment horizontal="left" vertical="center" wrapText="1"/>
    </xf>
    <xf numFmtId="0" fontId="10" fillId="0" borderId="26" xfId="0" applyNumberFormat="1" applyFont="1" applyFill="1" applyBorder="1" applyAlignment="1">
      <alignment vertical="center" wrapText="1"/>
    </xf>
    <xf numFmtId="0" fontId="10" fillId="0" borderId="27" xfId="0" applyNumberFormat="1" applyFont="1" applyFill="1" applyBorder="1" applyAlignment="1">
      <alignment vertical="center" wrapText="1"/>
    </xf>
    <xf numFmtId="0" fontId="10" fillId="0" borderId="28" xfId="0" applyNumberFormat="1" applyFont="1" applyFill="1" applyBorder="1" applyAlignment="1">
      <alignment vertical="center" wrapText="1"/>
    </xf>
    <xf numFmtId="0" fontId="10" fillId="0" borderId="29" xfId="0" applyNumberFormat="1" applyFont="1" applyFill="1" applyBorder="1" applyAlignment="1">
      <alignment vertical="center" wrapText="1"/>
    </xf>
    <xf numFmtId="0" fontId="10" fillId="0" borderId="9" xfId="0" applyNumberFormat="1" applyFont="1" applyFill="1" applyBorder="1" applyAlignment="1">
      <alignment vertical="center" wrapText="1"/>
    </xf>
    <xf numFmtId="0" fontId="10" fillId="0" borderId="7" xfId="0" applyNumberFormat="1" applyFont="1" applyFill="1" applyBorder="1" applyAlignment="1">
      <alignment horizontal="center" vertical="center" wrapText="1"/>
    </xf>
    <xf numFmtId="0" fontId="11" fillId="3" borderId="7" xfId="0" applyNumberFormat="1" applyFont="1" applyFill="1" applyBorder="1" applyAlignment="1">
      <alignment horizontal="left" vertical="center" wrapText="1"/>
    </xf>
    <xf numFmtId="0" fontId="11" fillId="0" borderId="7" xfId="0" applyNumberFormat="1" applyFont="1" applyFill="1" applyBorder="1" applyAlignment="1">
      <alignment horizontal="center" vertical="center" wrapText="1"/>
    </xf>
    <xf numFmtId="9" fontId="10" fillId="0" borderId="10" xfId="0" applyNumberFormat="1" applyFont="1" applyFill="1" applyBorder="1" applyAlignment="1">
      <alignment horizontal="center" vertical="center" wrapText="1"/>
    </xf>
    <xf numFmtId="9" fontId="10" fillId="0" borderId="11" xfId="0" applyNumberFormat="1" applyFont="1" applyFill="1" applyBorder="1" applyAlignment="1">
      <alignment horizontal="center" vertical="center" wrapText="1"/>
    </xf>
    <xf numFmtId="9" fontId="10" fillId="0" borderId="12" xfId="0" applyNumberFormat="1" applyFont="1" applyFill="1" applyBorder="1" applyAlignment="1">
      <alignment horizontal="center" vertical="center" wrapText="1"/>
    </xf>
    <xf numFmtId="0" fontId="17" fillId="3" borderId="10" xfId="0" applyNumberFormat="1" applyFont="1" applyFill="1" applyBorder="1" applyAlignment="1">
      <alignment horizontal="center" vertical="center" wrapText="1"/>
    </xf>
    <xf numFmtId="0" fontId="17" fillId="3" borderId="11" xfId="0" applyNumberFormat="1" applyFont="1" applyFill="1" applyBorder="1" applyAlignment="1">
      <alignment horizontal="center" vertical="center" wrapText="1"/>
    </xf>
    <xf numFmtId="0" fontId="13" fillId="0" borderId="7"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17" fillId="3" borderId="12" xfId="0" applyNumberFormat="1" applyFont="1" applyFill="1" applyBorder="1" applyAlignment="1">
      <alignment horizontal="center" vertical="center" wrapText="1"/>
    </xf>
    <xf numFmtId="0" fontId="10" fillId="0" borderId="11" xfId="0" applyNumberFormat="1" applyFont="1" applyFill="1" applyBorder="1" applyAlignment="1">
      <alignment horizontal="center" vertical="center" wrapText="1"/>
    </xf>
    <xf numFmtId="9" fontId="10" fillId="0" borderId="7"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xf numFmtId="0" fontId="9" fillId="2" borderId="8" xfId="0" applyNumberFormat="1" applyFont="1" applyFill="1" applyBorder="1" applyAlignment="1">
      <alignment horizontal="center" vertical="center" wrapText="1"/>
    </xf>
    <xf numFmtId="0" fontId="9" fillId="2" borderId="6" xfId="0" applyNumberFormat="1" applyFont="1" applyFill="1" applyBorder="1" applyAlignment="1">
      <alignment horizontal="center" vertical="center" wrapText="1"/>
    </xf>
    <xf numFmtId="0" fontId="9" fillId="2" borderId="9"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7" fillId="0" borderId="30" xfId="0" applyNumberFormat="1" applyFont="1" applyFill="1" applyBorder="1" applyAlignment="1">
      <alignment horizontal="center" vertical="center" wrapText="1"/>
    </xf>
    <xf numFmtId="0" fontId="17" fillId="0" borderId="8"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17" fillId="0" borderId="31" xfId="0" applyNumberFormat="1" applyFont="1" applyFill="1" applyBorder="1" applyAlignment="1">
      <alignment horizontal="center" vertical="center" wrapText="1"/>
    </xf>
    <xf numFmtId="0" fontId="17" fillId="3" borderId="1"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0" fontId="17" fillId="3" borderId="3" xfId="0" applyNumberFormat="1" applyFont="1" applyFill="1" applyBorder="1" applyAlignment="1">
      <alignment horizontal="center" vertical="center" wrapText="1"/>
    </xf>
    <xf numFmtId="0" fontId="17" fillId="3" borderId="8" xfId="0" applyNumberFormat="1" applyFont="1" applyFill="1" applyBorder="1" applyAlignment="1">
      <alignment horizontal="center" vertical="center" wrapText="1"/>
    </xf>
    <xf numFmtId="0" fontId="17" fillId="3" borderId="6" xfId="0" applyNumberFormat="1" applyFont="1" applyFill="1" applyBorder="1" applyAlignment="1">
      <alignment horizontal="center" vertical="center" wrapText="1"/>
    </xf>
    <xf numFmtId="0" fontId="17" fillId="3" borderId="9" xfId="0" applyNumberFormat="1" applyFont="1" applyFill="1" applyBorder="1" applyAlignment="1">
      <alignment horizontal="center" vertical="center" wrapText="1"/>
    </xf>
    <xf numFmtId="0" fontId="17" fillId="3" borderId="24" xfId="0" applyNumberFormat="1" applyFont="1" applyFill="1" applyBorder="1" applyAlignment="1">
      <alignment horizontal="center" vertical="center" wrapText="1"/>
    </xf>
    <xf numFmtId="0" fontId="17" fillId="3" borderId="32" xfId="0" applyNumberFormat="1" applyFont="1" applyFill="1" applyBorder="1" applyAlignment="1">
      <alignment horizontal="center" vertical="center" wrapText="1"/>
    </xf>
    <xf numFmtId="0" fontId="17" fillId="3" borderId="7" xfId="0" applyNumberFormat="1" applyFont="1" applyFill="1" applyBorder="1" applyAlignment="1">
      <alignment horizontal="center" vertical="center" wrapText="1"/>
    </xf>
    <xf numFmtId="0" fontId="17" fillId="4" borderId="7" xfId="0" applyNumberFormat="1" applyFont="1" applyFill="1" applyBorder="1" applyAlignment="1">
      <alignment horizontal="center" vertical="center" wrapText="1"/>
    </xf>
    <xf numFmtId="0" fontId="37" fillId="26" borderId="0" xfId="0" applyNumberFormat="1" applyFont="1" applyFill="1" applyAlignment="1">
      <alignment horizontal="center" vertical="center"/>
    </xf>
    <xf numFmtId="10" fontId="17" fillId="9" borderId="7" xfId="2" applyNumberFormat="1" applyFont="1" applyFill="1" applyBorder="1" applyAlignment="1">
      <alignment horizontal="center" vertical="center"/>
    </xf>
    <xf numFmtId="10" fontId="17" fillId="8" borderId="7" xfId="2" applyNumberFormat="1" applyFont="1" applyFill="1" applyBorder="1" applyAlignment="1">
      <alignment horizontal="center" vertical="center"/>
    </xf>
    <xf numFmtId="1" fontId="17" fillId="28" borderId="7" xfId="0" applyNumberFormat="1" applyFont="1" applyFill="1" applyBorder="1" applyAlignment="1">
      <alignment horizontal="center" vertical="center"/>
    </xf>
    <xf numFmtId="9" fontId="17" fillId="8" borderId="7" xfId="2" applyFont="1" applyFill="1" applyBorder="1" applyAlignment="1">
      <alignment horizontal="center" vertical="center"/>
    </xf>
    <xf numFmtId="1" fontId="17" fillId="8" borderId="7" xfId="0" applyNumberFormat="1" applyFont="1" applyFill="1" applyBorder="1" applyAlignment="1">
      <alignment horizontal="center" vertical="center"/>
    </xf>
    <xf numFmtId="1" fontId="17" fillId="9" borderId="7" xfId="0" applyNumberFormat="1" applyFont="1" applyFill="1" applyBorder="1" applyAlignment="1">
      <alignment horizontal="center" vertical="center"/>
    </xf>
    <xf numFmtId="9" fontId="17" fillId="9" borderId="7" xfId="2" applyFont="1" applyFill="1" applyBorder="1" applyAlignment="1">
      <alignment horizontal="center" vertical="center"/>
    </xf>
    <xf numFmtId="49" fontId="17" fillId="0" borderId="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0" fontId="21" fillId="9" borderId="7" xfId="0" applyNumberFormat="1" applyFont="1" applyFill="1" applyBorder="1" applyAlignment="1">
      <alignment horizontal="center" vertical="center"/>
    </xf>
    <xf numFmtId="9" fontId="11" fillId="0" borderId="7" xfId="0" applyNumberFormat="1" applyFont="1" applyBorder="1" applyAlignment="1">
      <alignment horizontal="center" vertical="center" wrapText="1"/>
    </xf>
    <xf numFmtId="0" fontId="21" fillId="8" borderId="7" xfId="0" applyNumberFormat="1" applyFont="1" applyFill="1" applyBorder="1" applyAlignment="1">
      <alignment horizontal="center" vertical="center"/>
    </xf>
    <xf numFmtId="0" fontId="21" fillId="9" borderId="7" xfId="0" applyNumberFormat="1" applyFont="1" applyFill="1" applyBorder="1" applyAlignment="1">
      <alignment horizontal="left" vertical="center"/>
    </xf>
    <xf numFmtId="0" fontId="21" fillId="8" borderId="7" xfId="0" applyNumberFormat="1" applyFont="1" applyFill="1" applyBorder="1" applyAlignment="1">
      <alignment horizontal="left" vertical="center"/>
    </xf>
    <xf numFmtId="1"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1" fontId="10" fillId="0" borderId="10"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9" fontId="10" fillId="0" borderId="78" xfId="0" applyNumberFormat="1" applyFont="1" applyBorder="1" applyAlignment="1">
      <alignment horizontal="center" vertical="center" wrapText="1"/>
    </xf>
    <xf numFmtId="9" fontId="10" fillId="0" borderId="32" xfId="0" applyNumberFormat="1" applyFont="1" applyBorder="1" applyAlignment="1">
      <alignment horizontal="center" vertical="center" wrapText="1"/>
    </xf>
    <xf numFmtId="0" fontId="11" fillId="3" borderId="10" xfId="0" applyNumberFormat="1" applyFont="1" applyFill="1" applyBorder="1" applyAlignment="1">
      <alignment horizontal="left" vertical="center" wrapText="1"/>
    </xf>
    <xf numFmtId="0" fontId="11" fillId="3" borderId="12" xfId="0" applyNumberFormat="1" applyFont="1" applyFill="1" applyBorder="1" applyAlignment="1">
      <alignment horizontal="left" vertical="center" wrapText="1"/>
    </xf>
    <xf numFmtId="0" fontId="10" fillId="0" borderId="10" xfId="0" applyNumberFormat="1" applyFont="1" applyBorder="1" applyAlignment="1">
      <alignment horizontal="center" vertical="center" wrapText="1"/>
    </xf>
    <xf numFmtId="0" fontId="11" fillId="3" borderId="10" xfId="0" applyNumberFormat="1" applyFont="1" applyFill="1" applyBorder="1" applyAlignment="1">
      <alignment horizontal="center" vertical="center" wrapText="1"/>
    </xf>
    <xf numFmtId="0" fontId="11" fillId="3" borderId="12" xfId="0" applyNumberFormat="1" applyFont="1" applyFill="1" applyBorder="1" applyAlignment="1">
      <alignment horizontal="center" vertical="center" wrapText="1"/>
    </xf>
    <xf numFmtId="0" fontId="11" fillId="3" borderId="11" xfId="0" applyNumberFormat="1" applyFont="1" applyFill="1" applyBorder="1" applyAlignment="1">
      <alignment horizontal="center" vertical="center" wrapText="1"/>
    </xf>
    <xf numFmtId="1" fontId="17" fillId="9" borderId="1" xfId="0" applyNumberFormat="1" applyFont="1" applyFill="1" applyBorder="1" applyAlignment="1">
      <alignment horizontal="center" vertical="center"/>
    </xf>
    <xf numFmtId="1" fontId="17" fillId="9" borderId="2"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1" fontId="17" fillId="9" borderId="5" xfId="0" applyNumberFormat="1" applyFont="1" applyFill="1" applyBorder="1" applyAlignment="1">
      <alignment horizontal="center" vertical="center"/>
    </xf>
    <xf numFmtId="1" fontId="17" fillId="9" borderId="0" xfId="0" applyNumberFormat="1" applyFont="1" applyFill="1" applyBorder="1" applyAlignment="1">
      <alignment horizontal="center" vertical="center"/>
    </xf>
    <xf numFmtId="1" fontId="17" fillId="9" borderId="4" xfId="0" applyNumberFormat="1" applyFont="1" applyFill="1" applyBorder="1" applyAlignment="1">
      <alignment horizontal="center" vertical="center"/>
    </xf>
    <xf numFmtId="1" fontId="17" fillId="9" borderId="8" xfId="0" applyNumberFormat="1" applyFont="1" applyFill="1" applyBorder="1" applyAlignment="1">
      <alignment horizontal="center" vertical="center"/>
    </xf>
    <xf numFmtId="1" fontId="17" fillId="9" borderId="6" xfId="0" applyNumberFormat="1" applyFont="1" applyFill="1" applyBorder="1" applyAlignment="1">
      <alignment horizontal="center" vertical="center"/>
    </xf>
    <xf numFmtId="1" fontId="17" fillId="9" borderId="9" xfId="0" applyNumberFormat="1" applyFont="1" applyFill="1" applyBorder="1" applyAlignment="1">
      <alignment horizontal="center" vertical="center"/>
    </xf>
    <xf numFmtId="1" fontId="38" fillId="9" borderId="7" xfId="0" applyNumberFormat="1" applyFont="1" applyFill="1" applyBorder="1" applyAlignment="1">
      <alignment horizontal="center" vertical="center"/>
    </xf>
    <xf numFmtId="9" fontId="17" fillId="9" borderId="1" xfId="2" applyFont="1" applyFill="1" applyBorder="1" applyAlignment="1">
      <alignment horizontal="center" vertical="center"/>
    </xf>
    <xf numFmtId="9" fontId="17" fillId="9" borderId="3" xfId="2" applyFont="1" applyFill="1" applyBorder="1" applyAlignment="1">
      <alignment horizontal="center" vertical="center"/>
    </xf>
    <xf numFmtId="9" fontId="17" fillId="9" borderId="5" xfId="2" applyFont="1" applyFill="1" applyBorder="1" applyAlignment="1">
      <alignment horizontal="center" vertical="center"/>
    </xf>
    <xf numFmtId="9" fontId="17" fillId="9" borderId="4" xfId="2" applyFont="1" applyFill="1" applyBorder="1" applyAlignment="1">
      <alignment horizontal="center" vertical="center"/>
    </xf>
    <xf numFmtId="9" fontId="17" fillId="9" borderId="8" xfId="2" applyFont="1" applyFill="1" applyBorder="1" applyAlignment="1">
      <alignment horizontal="center" vertical="center"/>
    </xf>
    <xf numFmtId="9" fontId="17" fillId="9" borderId="9" xfId="2" applyFont="1" applyFill="1" applyBorder="1" applyAlignment="1">
      <alignment horizontal="center" vertical="center"/>
    </xf>
    <xf numFmtId="9" fontId="10" fillId="0" borderId="7" xfId="0" applyNumberFormat="1" applyFont="1" applyBorder="1" applyAlignment="1">
      <alignment horizontal="center" vertical="center" wrapText="1"/>
    </xf>
    <xf numFmtId="0" fontId="21" fillId="9" borderId="10" xfId="0" applyNumberFormat="1" applyFont="1" applyFill="1" applyBorder="1" applyAlignment="1">
      <alignment horizontal="left" vertical="center"/>
    </xf>
    <xf numFmtId="0" fontId="21" fillId="9" borderId="11" xfId="0" applyNumberFormat="1" applyFont="1" applyFill="1" applyBorder="1" applyAlignment="1">
      <alignment horizontal="left" vertical="center"/>
    </xf>
    <xf numFmtId="0" fontId="21" fillId="9" borderId="12" xfId="0" applyNumberFormat="1" applyFont="1" applyFill="1" applyBorder="1" applyAlignment="1">
      <alignment horizontal="left" vertical="center"/>
    </xf>
    <xf numFmtId="1" fontId="10" fillId="0" borderId="11" xfId="0" applyNumberFormat="1" applyFont="1" applyBorder="1" applyAlignment="1">
      <alignment horizontal="center" vertical="center" wrapText="1"/>
    </xf>
    <xf numFmtId="1" fontId="10" fillId="0" borderId="12" xfId="0" applyNumberFormat="1" applyFont="1" applyBorder="1" applyAlignment="1">
      <alignment horizontal="center" vertical="center" wrapText="1"/>
    </xf>
    <xf numFmtId="0" fontId="0" fillId="0" borderId="7" xfId="0" applyBorder="1" applyAlignment="1">
      <alignment horizontal="center" vertical="center"/>
    </xf>
    <xf numFmtId="9" fontId="10" fillId="0" borderId="24" xfId="2" applyFont="1" applyBorder="1" applyAlignment="1">
      <alignment horizontal="center" vertical="center" wrapText="1"/>
    </xf>
    <xf numFmtId="9" fontId="10" fillId="0" borderId="78" xfId="2" applyFont="1" applyBorder="1" applyAlignment="1">
      <alignment horizontal="center" vertical="center" wrapText="1"/>
    </xf>
    <xf numFmtId="9" fontId="10" fillId="0" borderId="32" xfId="2" applyFont="1" applyBorder="1" applyAlignment="1">
      <alignment horizontal="center" vertical="center" wrapText="1"/>
    </xf>
    <xf numFmtId="1" fontId="17" fillId="8" borderId="10" xfId="0" applyNumberFormat="1" applyFont="1" applyFill="1" applyBorder="1" applyAlignment="1">
      <alignment horizontal="center" vertical="center"/>
    </xf>
    <xf numFmtId="1" fontId="17" fillId="8" borderId="11" xfId="0" applyNumberFormat="1" applyFont="1" applyFill="1" applyBorder="1" applyAlignment="1">
      <alignment horizontal="center" vertical="center"/>
    </xf>
    <xf numFmtId="1" fontId="17" fillId="8" borderId="12" xfId="0" applyNumberFormat="1" applyFont="1" applyFill="1" applyBorder="1" applyAlignment="1">
      <alignment horizontal="center" vertical="center"/>
    </xf>
    <xf numFmtId="0" fontId="21" fillId="16" borderId="10" xfId="0" applyNumberFormat="1" applyFont="1" applyFill="1" applyBorder="1" applyAlignment="1">
      <alignment horizontal="center" vertical="center" wrapText="1"/>
    </xf>
    <xf numFmtId="0" fontId="21" fillId="16" borderId="12" xfId="0" applyNumberFormat="1" applyFont="1" applyFill="1" applyBorder="1" applyAlignment="1">
      <alignment horizontal="center" vertical="center" wrapText="1"/>
    </xf>
    <xf numFmtId="0" fontId="21" fillId="5" borderId="10" xfId="0" applyNumberFormat="1" applyFont="1" applyFill="1" applyBorder="1" applyAlignment="1">
      <alignment horizontal="center" vertical="center" wrapText="1"/>
    </xf>
    <xf numFmtId="0" fontId="21" fillId="5" borderId="11" xfId="0" applyNumberFormat="1" applyFont="1" applyFill="1" applyBorder="1" applyAlignment="1">
      <alignment horizontal="center" vertical="center" wrapText="1"/>
    </xf>
    <xf numFmtId="0" fontId="21" fillId="5" borderId="12" xfId="0" applyNumberFormat="1" applyFont="1" applyFill="1" applyBorder="1" applyAlignment="1">
      <alignment horizontal="center" vertical="center" wrapText="1"/>
    </xf>
    <xf numFmtId="1" fontId="17" fillId="8" borderId="24" xfId="0" applyNumberFormat="1" applyFont="1" applyFill="1" applyBorder="1" applyAlignment="1">
      <alignment horizontal="center" vertical="center"/>
    </xf>
    <xf numFmtId="1" fontId="17" fillId="9" borderId="10" xfId="0" applyNumberFormat="1" applyFont="1" applyFill="1" applyBorder="1" applyAlignment="1">
      <alignment horizontal="center" vertical="center"/>
    </xf>
    <xf numFmtId="1" fontId="17" fillId="9" borderId="11" xfId="0" applyNumberFormat="1" applyFont="1" applyFill="1" applyBorder="1" applyAlignment="1">
      <alignment horizontal="center" vertical="center"/>
    </xf>
    <xf numFmtId="1" fontId="17" fillId="9" borderId="12" xfId="0" applyNumberFormat="1"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1" fillId="9" borderId="1" xfId="0" applyNumberFormat="1" applyFont="1" applyFill="1" applyBorder="1" applyAlignment="1">
      <alignment horizontal="center" vertical="center"/>
    </xf>
    <xf numFmtId="0" fontId="21" fillId="9" borderId="3" xfId="0" applyNumberFormat="1" applyFont="1" applyFill="1" applyBorder="1" applyAlignment="1">
      <alignment horizontal="center" vertical="center"/>
    </xf>
    <xf numFmtId="0" fontId="21" fillId="9" borderId="5" xfId="0" applyNumberFormat="1" applyFont="1" applyFill="1" applyBorder="1" applyAlignment="1">
      <alignment horizontal="center" vertical="center"/>
    </xf>
    <xf numFmtId="0" fontId="21" fillId="9" borderId="4" xfId="0" applyNumberFormat="1" applyFont="1" applyFill="1" applyBorder="1" applyAlignment="1">
      <alignment horizontal="center" vertical="center"/>
    </xf>
    <xf numFmtId="0" fontId="21" fillId="9" borderId="8" xfId="0" applyNumberFormat="1" applyFont="1" applyFill="1" applyBorder="1" applyAlignment="1">
      <alignment horizontal="center" vertical="center"/>
    </xf>
    <xf numFmtId="0" fontId="21" fillId="9" borderId="9" xfId="0" applyNumberFormat="1" applyFont="1" applyFill="1" applyBorder="1" applyAlignment="1">
      <alignment horizontal="center" vertical="center"/>
    </xf>
    <xf numFmtId="1" fontId="17" fillId="8" borderId="1" xfId="0" applyNumberFormat="1" applyFont="1" applyFill="1" applyBorder="1" applyAlignment="1">
      <alignment horizontal="center" vertical="center"/>
    </xf>
    <xf numFmtId="1" fontId="17" fillId="8" borderId="2" xfId="0" applyNumberFormat="1" applyFont="1" applyFill="1" applyBorder="1" applyAlignment="1">
      <alignment horizontal="center" vertical="center"/>
    </xf>
    <xf numFmtId="1" fontId="17" fillId="8" borderId="3" xfId="0" applyNumberFormat="1" applyFont="1" applyFill="1" applyBorder="1" applyAlignment="1">
      <alignment horizontal="center" vertical="center"/>
    </xf>
    <xf numFmtId="1" fontId="17" fillId="8" borderId="5" xfId="0" applyNumberFormat="1" applyFont="1" applyFill="1" applyBorder="1" applyAlignment="1">
      <alignment horizontal="center" vertical="center"/>
    </xf>
    <xf numFmtId="1" fontId="17" fillId="8" borderId="0" xfId="0" applyNumberFormat="1" applyFont="1" applyFill="1" applyBorder="1" applyAlignment="1">
      <alignment horizontal="center" vertical="center"/>
    </xf>
    <xf numFmtId="1" fontId="17" fillId="8" borderId="4" xfId="0" applyNumberFormat="1" applyFont="1" applyFill="1" applyBorder="1" applyAlignment="1">
      <alignment horizontal="center" vertical="center"/>
    </xf>
    <xf numFmtId="1" fontId="17" fillId="8" borderId="8" xfId="0" applyNumberFormat="1" applyFont="1" applyFill="1" applyBorder="1" applyAlignment="1">
      <alignment horizontal="center" vertical="center"/>
    </xf>
    <xf numFmtId="1" fontId="17" fillId="8" borderId="6" xfId="0" applyNumberFormat="1" applyFont="1" applyFill="1" applyBorder="1" applyAlignment="1">
      <alignment horizontal="center" vertical="center"/>
    </xf>
    <xf numFmtId="1" fontId="17" fillId="8" borderId="9" xfId="0" applyNumberFormat="1" applyFont="1" applyFill="1" applyBorder="1" applyAlignment="1">
      <alignment horizontal="center" vertical="center"/>
    </xf>
    <xf numFmtId="9" fontId="17" fillId="8" borderId="1" xfId="2" applyFont="1" applyFill="1" applyBorder="1" applyAlignment="1">
      <alignment horizontal="center" vertical="center"/>
    </xf>
    <xf numFmtId="9" fontId="17" fillId="8" borderId="3" xfId="2" applyFont="1" applyFill="1" applyBorder="1" applyAlignment="1">
      <alignment horizontal="center" vertical="center"/>
    </xf>
    <xf numFmtId="9" fontId="17" fillId="8" borderId="5" xfId="2" applyFont="1" applyFill="1" applyBorder="1" applyAlignment="1">
      <alignment horizontal="center" vertical="center"/>
    </xf>
    <xf numFmtId="9" fontId="17" fillId="8" borderId="4" xfId="2" applyFont="1" applyFill="1" applyBorder="1" applyAlignment="1">
      <alignment horizontal="center" vertical="center"/>
    </xf>
    <xf numFmtId="9" fontId="17" fillId="8" borderId="8" xfId="2" applyFont="1" applyFill="1" applyBorder="1" applyAlignment="1">
      <alignment horizontal="center" vertical="center"/>
    </xf>
    <xf numFmtId="9" fontId="17" fillId="8" borderId="9" xfId="2" applyFont="1" applyFill="1" applyBorder="1" applyAlignment="1">
      <alignment horizontal="center" vertical="center"/>
    </xf>
    <xf numFmtId="0" fontId="10" fillId="0" borderId="14" xfId="0" applyNumberFormat="1" applyFont="1" applyFill="1" applyBorder="1" applyAlignment="1">
      <alignment horizontal="center" vertical="center" wrapText="1"/>
    </xf>
    <xf numFmtId="0" fontId="10" fillId="0" borderId="15" xfId="0" applyNumberFormat="1" applyFont="1" applyFill="1" applyBorder="1" applyAlignment="1">
      <alignment horizontal="center" vertical="center" wrapText="1"/>
    </xf>
    <xf numFmtId="10" fontId="17" fillId="8" borderId="24" xfId="2" applyNumberFormat="1" applyFont="1" applyFill="1" applyBorder="1" applyAlignment="1">
      <alignment horizontal="center" vertical="center"/>
    </xf>
    <xf numFmtId="10" fontId="17" fillId="8" borderId="32" xfId="2" applyNumberFormat="1" applyFont="1" applyFill="1" applyBorder="1" applyAlignment="1">
      <alignment horizontal="center" vertical="center"/>
    </xf>
    <xf numFmtId="0" fontId="10" fillId="0" borderId="0" xfId="0" applyFont="1" applyAlignment="1">
      <alignment vertical="center" wrapText="1"/>
    </xf>
    <xf numFmtId="0" fontId="17" fillId="3" borderId="8"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0" fillId="0" borderId="24" xfId="0" applyFont="1" applyBorder="1" applyAlignment="1">
      <alignment horizontal="justify"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1" fillId="3" borderId="20" xfId="0" applyFont="1" applyFill="1" applyBorder="1" applyAlignment="1">
      <alignment horizontal="left" vertical="center" wrapText="1"/>
    </xf>
    <xf numFmtId="0" fontId="11" fillId="3" borderId="21" xfId="0" applyFont="1" applyFill="1" applyBorder="1" applyAlignment="1">
      <alignment horizontal="left" vertical="center" wrapText="1"/>
    </xf>
    <xf numFmtId="0" fontId="11" fillId="3" borderId="22" xfId="0" applyFont="1" applyFill="1" applyBorder="1" applyAlignment="1">
      <alignment horizontal="left" vertical="center" wrapText="1"/>
    </xf>
    <xf numFmtId="0" fontId="10" fillId="0" borderId="14" xfId="0" applyFont="1" applyBorder="1" applyAlignment="1">
      <alignment horizontal="justify" vertical="center" wrapText="1"/>
    </xf>
    <xf numFmtId="0" fontId="10" fillId="0" borderId="23" xfId="0" applyFont="1" applyBorder="1" applyAlignment="1">
      <alignment horizontal="justify" vertical="center" wrapText="1"/>
    </xf>
    <xf numFmtId="0" fontId="10" fillId="0" borderId="15" xfId="0" applyFont="1" applyBorder="1" applyAlignment="1">
      <alignment horizontal="justify" vertical="center" wrapText="1"/>
    </xf>
    <xf numFmtId="0" fontId="10" fillId="0" borderId="6" xfId="0" applyFont="1" applyBorder="1" applyAlignment="1">
      <alignment vertical="center" wrapText="1"/>
    </xf>
    <xf numFmtId="0" fontId="11" fillId="0" borderId="5" xfId="0" applyFont="1" applyBorder="1" applyAlignment="1">
      <alignment horizontal="left" vertical="center" wrapText="1"/>
    </xf>
    <xf numFmtId="0" fontId="11" fillId="0" borderId="13" xfId="0" applyFont="1" applyBorder="1" applyAlignment="1">
      <alignment horizontal="lef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0" xfId="0" applyFont="1" applyBorder="1" applyAlignment="1">
      <alignment horizontal="center" vertical="center" wrapText="1"/>
    </xf>
    <xf numFmtId="0" fontId="10" fillId="0" borderId="16" xfId="0" applyFont="1" applyBorder="1" applyAlignment="1">
      <alignment vertical="center" wrapText="1"/>
    </xf>
    <xf numFmtId="0" fontId="10" fillId="0" borderId="4" xfId="0" applyFont="1" applyBorder="1" applyAlignment="1">
      <alignment vertical="center" wrapText="1"/>
    </xf>
    <xf numFmtId="0" fontId="11" fillId="0" borderId="17" xfId="0" applyFont="1" applyBorder="1" applyAlignment="1">
      <alignment horizontal="justify" vertical="center" wrapText="1"/>
    </xf>
    <xf numFmtId="0" fontId="11" fillId="0" borderId="18" xfId="0" applyFont="1" applyBorder="1" applyAlignment="1">
      <alignment horizontal="justify" vertical="center" wrapText="1"/>
    </xf>
    <xf numFmtId="0" fontId="11" fillId="0" borderId="19" xfId="0" applyFont="1" applyBorder="1" applyAlignment="1">
      <alignment horizontal="justify" vertical="center" wrapText="1"/>
    </xf>
    <xf numFmtId="0" fontId="10" fillId="0" borderId="27"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9" xfId="0" applyFont="1" applyBorder="1" applyAlignment="1">
      <alignment vertical="center" wrapText="1"/>
    </xf>
    <xf numFmtId="0" fontId="11" fillId="3" borderId="7" xfId="0" applyFont="1" applyFill="1" applyBorder="1" applyAlignment="1">
      <alignment horizontal="left"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1" fillId="3" borderId="7" xfId="0" applyFont="1" applyFill="1" applyBorder="1" applyAlignment="1">
      <alignment horizontal="center" vertical="center" wrapText="1"/>
    </xf>
    <xf numFmtId="0" fontId="21" fillId="8" borderId="7" xfId="0" applyFont="1" applyFill="1" applyBorder="1" applyAlignment="1">
      <alignment horizontal="left" vertical="center"/>
    </xf>
    <xf numFmtId="0" fontId="21" fillId="5" borderId="7"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1" fillId="7" borderId="7" xfId="0" applyFont="1" applyFill="1" applyBorder="1" applyAlignment="1">
      <alignment horizontal="center" vertical="center" wrapText="1"/>
    </xf>
    <xf numFmtId="0" fontId="21" fillId="9" borderId="7" xfId="0" applyFont="1" applyFill="1" applyBorder="1" applyAlignment="1">
      <alignment horizontal="left" vertical="center"/>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21" fillId="8" borderId="7" xfId="0" applyFont="1" applyFill="1" applyBorder="1" applyAlignment="1">
      <alignment horizontal="center" vertical="center"/>
    </xf>
    <xf numFmtId="0" fontId="21" fillId="9" borderId="7" xfId="0" applyFont="1" applyFill="1" applyBorder="1" applyAlignment="1">
      <alignment horizontal="center" vertical="center"/>
    </xf>
    <xf numFmtId="1" fontId="17" fillId="9" borderId="0" xfId="0" applyNumberFormat="1" applyFont="1" applyFill="1" applyAlignment="1">
      <alignment horizontal="center" vertical="center"/>
    </xf>
    <xf numFmtId="0" fontId="17" fillId="3" borderId="24"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0" fillId="0" borderId="7" xfId="0" applyFont="1" applyBorder="1" applyAlignment="1">
      <alignment horizontal="center" vertical="center" wrapText="1"/>
    </xf>
    <xf numFmtId="1" fontId="17" fillId="8" borderId="7" xfId="2" applyNumberFormat="1" applyFont="1" applyFill="1" applyBorder="1" applyAlignment="1">
      <alignment horizontal="center" vertical="center"/>
    </xf>
    <xf numFmtId="9" fontId="10" fillId="0" borderId="10" xfId="0" applyNumberFormat="1" applyFont="1" applyBorder="1" applyAlignment="1">
      <alignment horizontal="center" vertical="center" wrapText="1"/>
    </xf>
    <xf numFmtId="9" fontId="10" fillId="0" borderId="11" xfId="0" applyNumberFormat="1" applyFont="1" applyBorder="1" applyAlignment="1">
      <alignment horizontal="center" vertical="center" wrapText="1"/>
    </xf>
    <xf numFmtId="9" fontId="10" fillId="0" borderId="12" xfId="0" applyNumberFormat="1" applyFont="1" applyBorder="1" applyAlignment="1">
      <alignment horizontal="center" vertical="center" wrapText="1"/>
    </xf>
    <xf numFmtId="0" fontId="13" fillId="0" borderId="7" xfId="0" applyFont="1" applyBorder="1" applyAlignment="1">
      <alignment horizontal="center" vertical="center" wrapText="1"/>
    </xf>
    <xf numFmtId="1" fontId="17" fillId="8" borderId="0" xfId="0" applyNumberFormat="1" applyFont="1" applyFill="1" applyAlignment="1">
      <alignment horizontal="center" vertical="center"/>
    </xf>
    <xf numFmtId="0" fontId="11" fillId="0" borderId="7"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1" xfId="0" applyFont="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9" xfId="0" applyFont="1" applyBorder="1" applyAlignment="1">
      <alignment horizontal="center" vertical="center" wrapText="1"/>
    </xf>
    <xf numFmtId="164" fontId="10" fillId="0" borderId="10" xfId="3" applyFont="1" applyBorder="1" applyAlignment="1">
      <alignment horizontal="center" vertical="center" wrapText="1"/>
    </xf>
    <xf numFmtId="164" fontId="10" fillId="0" borderId="11" xfId="3" applyFont="1" applyBorder="1" applyAlignment="1">
      <alignment horizontal="center" vertical="center" wrapText="1"/>
    </xf>
    <xf numFmtId="164" fontId="10" fillId="0" borderId="12" xfId="3" applyFont="1" applyBorder="1" applyAlignment="1">
      <alignment horizontal="center" vertical="center" wrapText="1"/>
    </xf>
    <xf numFmtId="164" fontId="10" fillId="0" borderId="10" xfId="3" applyFont="1" applyFill="1" applyBorder="1" applyAlignment="1">
      <alignment horizontal="center" vertical="center" wrapText="1"/>
    </xf>
    <xf numFmtId="164" fontId="10" fillId="0" borderId="11" xfId="3" applyFont="1" applyFill="1" applyBorder="1" applyAlignment="1">
      <alignment horizontal="center" vertical="center" wrapText="1"/>
    </xf>
    <xf numFmtId="164" fontId="10" fillId="0" borderId="12" xfId="3" applyFont="1" applyFill="1" applyBorder="1" applyAlignment="1">
      <alignment horizontal="center" vertical="center" wrapText="1"/>
    </xf>
    <xf numFmtId="164" fontId="17" fillId="8" borderId="7" xfId="3" applyFont="1" applyFill="1" applyBorder="1" applyAlignment="1">
      <alignment horizontal="center" vertical="center"/>
    </xf>
    <xf numFmtId="164" fontId="17" fillId="9" borderId="7" xfId="3" applyFont="1" applyFill="1" applyBorder="1" applyAlignment="1">
      <alignment horizontal="center" vertical="center"/>
    </xf>
    <xf numFmtId="164" fontId="17" fillId="8" borderId="10" xfId="3" applyFont="1" applyFill="1" applyBorder="1" applyAlignment="1">
      <alignment horizontal="center" vertical="center"/>
    </xf>
    <xf numFmtId="164" fontId="17" fillId="8" borderId="11" xfId="3" applyFont="1" applyFill="1" applyBorder="1" applyAlignment="1">
      <alignment horizontal="center" vertical="center"/>
    </xf>
    <xf numFmtId="164" fontId="17" fillId="8" borderId="12" xfId="3" applyFont="1" applyFill="1" applyBorder="1" applyAlignment="1">
      <alignment horizontal="center" vertical="center"/>
    </xf>
    <xf numFmtId="164" fontId="10" fillId="0" borderId="10" xfId="0" applyNumberFormat="1" applyFont="1" applyBorder="1" applyAlignment="1">
      <alignment horizontal="center" vertical="center" wrapText="1"/>
    </xf>
    <xf numFmtId="164" fontId="10" fillId="0" borderId="10" xfId="0" applyNumberFormat="1" applyFont="1" applyFill="1" applyBorder="1" applyAlignment="1">
      <alignment horizontal="center" vertical="center" wrapText="1"/>
    </xf>
    <xf numFmtId="1" fontId="10" fillId="0" borderId="11" xfId="0" applyNumberFormat="1" applyFont="1" applyFill="1" applyBorder="1" applyAlignment="1">
      <alignment horizontal="center" vertical="center" wrapText="1"/>
    </xf>
    <xf numFmtId="1" fontId="10" fillId="0" borderId="12" xfId="0" applyNumberFormat="1" applyFont="1" applyFill="1" applyBorder="1" applyAlignment="1">
      <alignment horizontal="center" vertical="center" wrapText="1"/>
    </xf>
    <xf numFmtId="166" fontId="17" fillId="8" borderId="7" xfId="2" applyNumberFormat="1" applyFont="1" applyFill="1" applyBorder="1" applyAlignment="1">
      <alignment horizontal="center" vertical="center"/>
    </xf>
    <xf numFmtId="44" fontId="10" fillId="0" borderId="10" xfId="7" applyFont="1" applyBorder="1" applyAlignment="1">
      <alignment horizontal="center" vertical="center" wrapText="1"/>
    </xf>
    <xf numFmtId="44" fontId="10" fillId="0" borderId="11" xfId="7" applyFont="1" applyBorder="1" applyAlignment="1">
      <alignment horizontal="center" vertical="center" wrapText="1"/>
    </xf>
    <xf numFmtId="44" fontId="10" fillId="0" borderId="12" xfId="7" applyFont="1" applyBorder="1" applyAlignment="1">
      <alignment horizontal="center" vertical="center" wrapText="1"/>
    </xf>
    <xf numFmtId="44" fontId="10" fillId="0" borderId="10" xfId="7" applyFont="1" applyFill="1" applyBorder="1" applyAlignment="1">
      <alignment horizontal="center" vertical="center" wrapText="1"/>
    </xf>
    <xf numFmtId="44" fontId="10" fillId="0" borderId="11" xfId="7" applyFont="1" applyFill="1" applyBorder="1" applyAlignment="1">
      <alignment horizontal="center" vertical="center" wrapText="1"/>
    </xf>
    <xf numFmtId="44" fontId="10" fillId="0" borderId="12" xfId="7" applyFont="1" applyFill="1" applyBorder="1" applyAlignment="1">
      <alignment horizontal="center" vertical="center" wrapText="1"/>
    </xf>
    <xf numFmtId="44" fontId="17" fillId="8" borderId="7" xfId="7" applyFont="1" applyFill="1" applyBorder="1" applyAlignment="1">
      <alignment horizontal="center" vertical="center"/>
    </xf>
    <xf numFmtId="44" fontId="17" fillId="9" borderId="7" xfId="7" applyFont="1" applyFill="1" applyBorder="1" applyAlignment="1">
      <alignment horizontal="center" vertical="center"/>
    </xf>
    <xf numFmtId="44" fontId="17" fillId="9" borderId="10" xfId="7" applyFont="1" applyFill="1" applyBorder="1" applyAlignment="1">
      <alignment horizontal="center" vertical="center"/>
    </xf>
    <xf numFmtId="44" fontId="17" fillId="9" borderId="11" xfId="7" applyFont="1" applyFill="1" applyBorder="1" applyAlignment="1">
      <alignment horizontal="center" vertical="center"/>
    </xf>
    <xf numFmtId="44" fontId="17" fillId="9" borderId="12" xfId="7" applyFont="1" applyFill="1" applyBorder="1" applyAlignment="1">
      <alignment horizontal="center" vertical="center"/>
    </xf>
    <xf numFmtId="44" fontId="17" fillId="9" borderId="1" xfId="7" applyFont="1" applyFill="1" applyBorder="1" applyAlignment="1">
      <alignment horizontal="center" vertical="center"/>
    </xf>
    <xf numFmtId="44" fontId="17" fillId="9" borderId="2" xfId="7" applyFont="1" applyFill="1" applyBorder="1" applyAlignment="1">
      <alignment horizontal="center" vertical="center"/>
    </xf>
    <xf numFmtId="44" fontId="17" fillId="9" borderId="3" xfId="7" applyFont="1" applyFill="1" applyBorder="1" applyAlignment="1">
      <alignment horizontal="center" vertical="center"/>
    </xf>
    <xf numFmtId="44" fontId="17" fillId="9" borderId="5" xfId="7" applyFont="1" applyFill="1" applyBorder="1" applyAlignment="1">
      <alignment horizontal="center" vertical="center"/>
    </xf>
    <xf numFmtId="44" fontId="17" fillId="9" borderId="0" xfId="7" applyFont="1" applyFill="1" applyBorder="1" applyAlignment="1">
      <alignment horizontal="center" vertical="center"/>
    </xf>
    <xf numFmtId="44" fontId="17" fillId="9" borderId="4" xfId="7" applyFont="1" applyFill="1" applyBorder="1" applyAlignment="1">
      <alignment horizontal="center" vertical="center"/>
    </xf>
    <xf numFmtId="44" fontId="17" fillId="9" borderId="8" xfId="7" applyFont="1" applyFill="1" applyBorder="1" applyAlignment="1">
      <alignment horizontal="center" vertical="center"/>
    </xf>
    <xf numFmtId="44" fontId="17" fillId="9" borderId="6" xfId="7" applyFont="1" applyFill="1" applyBorder="1" applyAlignment="1">
      <alignment horizontal="center" vertical="center"/>
    </xf>
    <xf numFmtId="44" fontId="17" fillId="9" borderId="9" xfId="7" applyFont="1" applyFill="1" applyBorder="1" applyAlignment="1">
      <alignment horizontal="center" vertical="center"/>
    </xf>
    <xf numFmtId="44" fontId="17" fillId="8" borderId="1" xfId="7" applyFont="1" applyFill="1" applyBorder="1" applyAlignment="1">
      <alignment horizontal="center" vertical="center"/>
    </xf>
    <xf numFmtId="44" fontId="17" fillId="8" borderId="2" xfId="7" applyFont="1" applyFill="1" applyBorder="1" applyAlignment="1">
      <alignment horizontal="center" vertical="center"/>
    </xf>
    <xf numFmtId="44" fontId="17" fillId="8" borderId="3" xfId="7" applyFont="1" applyFill="1" applyBorder="1" applyAlignment="1">
      <alignment horizontal="center" vertical="center"/>
    </xf>
    <xf numFmtId="44" fontId="17" fillId="8" borderId="5" xfId="7" applyFont="1" applyFill="1" applyBorder="1" applyAlignment="1">
      <alignment horizontal="center" vertical="center"/>
    </xf>
    <xf numFmtId="44" fontId="17" fillId="8" borderId="0" xfId="7" applyFont="1" applyFill="1" applyBorder="1" applyAlignment="1">
      <alignment horizontal="center" vertical="center"/>
    </xf>
    <xf numFmtId="44" fontId="17" fillId="8" borderId="4" xfId="7" applyFont="1" applyFill="1" applyBorder="1" applyAlignment="1">
      <alignment horizontal="center" vertical="center"/>
    </xf>
    <xf numFmtId="44" fontId="17" fillId="8" borderId="8" xfId="7" applyFont="1" applyFill="1" applyBorder="1" applyAlignment="1">
      <alignment horizontal="center" vertical="center"/>
    </xf>
    <xf numFmtId="44" fontId="17" fillId="8" borderId="6" xfId="7" applyFont="1" applyFill="1" applyBorder="1" applyAlignment="1">
      <alignment horizontal="center" vertical="center"/>
    </xf>
    <xf numFmtId="44" fontId="17" fillId="8" borderId="9" xfId="7" applyFont="1" applyFill="1" applyBorder="1" applyAlignment="1">
      <alignment horizontal="center" vertical="center"/>
    </xf>
    <xf numFmtId="166" fontId="17" fillId="8" borderId="1" xfId="2" applyNumberFormat="1" applyFont="1" applyFill="1" applyBorder="1" applyAlignment="1">
      <alignment horizontal="center" vertical="center"/>
    </xf>
    <xf numFmtId="166" fontId="17" fillId="8" borderId="3" xfId="2" applyNumberFormat="1" applyFont="1" applyFill="1" applyBorder="1" applyAlignment="1">
      <alignment horizontal="center" vertical="center"/>
    </xf>
    <xf numFmtId="166" fontId="17" fillId="8" borderId="5" xfId="2" applyNumberFormat="1" applyFont="1" applyFill="1" applyBorder="1" applyAlignment="1">
      <alignment horizontal="center" vertical="center"/>
    </xf>
    <xf numFmtId="166" fontId="17" fillId="8" borderId="4" xfId="2" applyNumberFormat="1" applyFont="1" applyFill="1" applyBorder="1" applyAlignment="1">
      <alignment horizontal="center" vertical="center"/>
    </xf>
    <xf numFmtId="166" fontId="17" fillId="8" borderId="8" xfId="2" applyNumberFormat="1" applyFont="1" applyFill="1" applyBorder="1" applyAlignment="1">
      <alignment horizontal="center" vertical="center"/>
    </xf>
    <xf numFmtId="166" fontId="17" fillId="8" borderId="9" xfId="2" applyNumberFormat="1" applyFont="1" applyFill="1" applyBorder="1" applyAlignment="1">
      <alignment horizontal="center" vertical="center"/>
    </xf>
    <xf numFmtId="1" fontId="17" fillId="9" borderId="7" xfId="2" applyNumberFormat="1" applyFont="1" applyFill="1" applyBorder="1" applyAlignment="1">
      <alignment horizontal="center" vertical="center"/>
    </xf>
    <xf numFmtId="1" fontId="17" fillId="8" borderId="10" xfId="2" applyNumberFormat="1" applyFont="1" applyFill="1" applyBorder="1" applyAlignment="1">
      <alignment horizontal="center" vertical="center"/>
    </xf>
    <xf numFmtId="1" fontId="17" fillId="8" borderId="11" xfId="2" applyNumberFormat="1" applyFont="1" applyFill="1" applyBorder="1" applyAlignment="1">
      <alignment horizontal="center" vertical="center"/>
    </xf>
    <xf numFmtId="1" fontId="17" fillId="8" borderId="12" xfId="2" applyNumberFormat="1" applyFont="1" applyFill="1" applyBorder="1" applyAlignment="1">
      <alignment horizontal="center" vertical="center"/>
    </xf>
    <xf numFmtId="1" fontId="17" fillId="9" borderId="1" xfId="2" applyNumberFormat="1" applyFont="1" applyFill="1" applyBorder="1" applyAlignment="1">
      <alignment horizontal="center" vertical="center"/>
    </xf>
    <xf numFmtId="1" fontId="17" fillId="9" borderId="2" xfId="2" applyNumberFormat="1" applyFont="1" applyFill="1" applyBorder="1" applyAlignment="1">
      <alignment horizontal="center" vertical="center"/>
    </xf>
    <xf numFmtId="1" fontId="17" fillId="9" borderId="3" xfId="2" applyNumberFormat="1" applyFont="1" applyFill="1" applyBorder="1" applyAlignment="1">
      <alignment horizontal="center" vertical="center"/>
    </xf>
    <xf numFmtId="1" fontId="17" fillId="9" borderId="5" xfId="2" applyNumberFormat="1" applyFont="1" applyFill="1" applyBorder="1" applyAlignment="1">
      <alignment horizontal="center" vertical="center"/>
    </xf>
    <xf numFmtId="1" fontId="17" fillId="9" borderId="0" xfId="2" applyNumberFormat="1" applyFont="1" applyFill="1" applyBorder="1" applyAlignment="1">
      <alignment horizontal="center" vertical="center"/>
    </xf>
    <xf numFmtId="1" fontId="17" fillId="9" borderId="4" xfId="2" applyNumberFormat="1" applyFont="1" applyFill="1" applyBorder="1" applyAlignment="1">
      <alignment horizontal="center" vertical="center"/>
    </xf>
    <xf numFmtId="1" fontId="17" fillId="9" borderId="8" xfId="2" applyNumberFormat="1" applyFont="1" applyFill="1" applyBorder="1" applyAlignment="1">
      <alignment horizontal="center" vertical="center"/>
    </xf>
    <xf numFmtId="1" fontId="17" fillId="9" borderId="6" xfId="2" applyNumberFormat="1" applyFont="1" applyFill="1" applyBorder="1" applyAlignment="1">
      <alignment horizontal="center" vertical="center"/>
    </xf>
    <xf numFmtId="1" fontId="17" fillId="9" borderId="9" xfId="2" applyNumberFormat="1" applyFont="1" applyFill="1" applyBorder="1" applyAlignment="1">
      <alignment horizontal="center" vertical="center"/>
    </xf>
    <xf numFmtId="1" fontId="17" fillId="8" borderId="1" xfId="2" applyNumberFormat="1" applyFont="1" applyFill="1" applyBorder="1" applyAlignment="1">
      <alignment horizontal="center" vertical="center"/>
    </xf>
    <xf numFmtId="1" fontId="17" fillId="8" borderId="2" xfId="2" applyNumberFormat="1" applyFont="1" applyFill="1" applyBorder="1" applyAlignment="1">
      <alignment horizontal="center" vertical="center"/>
    </xf>
    <xf numFmtId="1" fontId="17" fillId="8" borderId="3" xfId="2" applyNumberFormat="1" applyFont="1" applyFill="1" applyBorder="1" applyAlignment="1">
      <alignment horizontal="center" vertical="center"/>
    </xf>
    <xf numFmtId="1" fontId="17" fillId="8" borderId="5" xfId="2" applyNumberFormat="1" applyFont="1" applyFill="1" applyBorder="1" applyAlignment="1">
      <alignment horizontal="center" vertical="center"/>
    </xf>
    <xf numFmtId="1" fontId="17" fillId="8" borderId="0" xfId="2" applyNumberFormat="1" applyFont="1" applyFill="1" applyBorder="1" applyAlignment="1">
      <alignment horizontal="center" vertical="center"/>
    </xf>
    <xf numFmtId="1" fontId="17" fillId="8" borderId="4" xfId="2" applyNumberFormat="1" applyFont="1" applyFill="1" applyBorder="1" applyAlignment="1">
      <alignment horizontal="center" vertical="center"/>
    </xf>
    <xf numFmtId="1" fontId="17" fillId="8" borderId="8" xfId="2" applyNumberFormat="1" applyFont="1" applyFill="1" applyBorder="1" applyAlignment="1">
      <alignment horizontal="center" vertical="center"/>
    </xf>
    <xf numFmtId="1" fontId="17" fillId="8" borderId="6" xfId="2" applyNumberFormat="1" applyFont="1" applyFill="1" applyBorder="1" applyAlignment="1">
      <alignment horizontal="center" vertical="center"/>
    </xf>
    <xf numFmtId="1" fontId="17" fillId="8" borderId="9" xfId="2" applyNumberFormat="1" applyFont="1" applyFill="1" applyBorder="1" applyAlignment="1">
      <alignment horizontal="center" vertical="center"/>
    </xf>
    <xf numFmtId="9" fontId="10" fillId="0" borderId="7" xfId="2" applyFont="1" applyFill="1" applyBorder="1" applyAlignment="1">
      <alignment horizontal="center" vertical="center" wrapText="1"/>
    </xf>
    <xf numFmtId="10" fontId="17" fillId="8" borderId="1" xfId="2" applyNumberFormat="1" applyFont="1" applyFill="1" applyBorder="1" applyAlignment="1">
      <alignment horizontal="center" vertical="center"/>
    </xf>
    <xf numFmtId="10" fontId="17" fillId="8" borderId="3" xfId="2" applyNumberFormat="1" applyFont="1" applyFill="1" applyBorder="1" applyAlignment="1">
      <alignment horizontal="center" vertical="center"/>
    </xf>
    <xf numFmtId="10" fontId="17" fillId="8" borderId="5" xfId="2" applyNumberFormat="1" applyFont="1" applyFill="1" applyBorder="1" applyAlignment="1">
      <alignment horizontal="center" vertical="center"/>
    </xf>
    <xf numFmtId="10" fontId="17" fillId="8" borderId="4" xfId="2" applyNumberFormat="1" applyFont="1" applyFill="1" applyBorder="1" applyAlignment="1">
      <alignment horizontal="center" vertical="center"/>
    </xf>
    <xf numFmtId="10" fontId="17" fillId="8" borderId="8" xfId="2" applyNumberFormat="1" applyFont="1" applyFill="1" applyBorder="1" applyAlignment="1">
      <alignment horizontal="center" vertical="center"/>
    </xf>
    <xf numFmtId="10" fontId="17" fillId="8" borderId="9" xfId="2" applyNumberFormat="1" applyFont="1" applyFill="1" applyBorder="1" applyAlignment="1">
      <alignment horizontal="center" vertical="center"/>
    </xf>
    <xf numFmtId="0" fontId="17" fillId="9" borderId="1" xfId="2" applyNumberFormat="1" applyFont="1" applyFill="1" applyBorder="1" applyAlignment="1">
      <alignment horizontal="center" vertical="center"/>
    </xf>
    <xf numFmtId="9" fontId="17" fillId="9" borderId="7" xfId="2" applyNumberFormat="1" applyFont="1" applyFill="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1" fontId="10" fillId="0" borderId="7"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10" xfId="0" applyNumberFormat="1" applyFont="1" applyFill="1" applyBorder="1" applyAlignment="1">
      <alignment horizontal="left" vertical="center" wrapText="1"/>
    </xf>
    <xf numFmtId="0" fontId="10" fillId="0" borderId="11" xfId="0" applyNumberFormat="1" applyFont="1" applyFill="1" applyBorder="1" applyAlignment="1">
      <alignment horizontal="left" vertical="center" wrapText="1"/>
    </xf>
    <xf numFmtId="0" fontId="10" fillId="0" borderId="12" xfId="0" applyNumberFormat="1" applyFont="1" applyFill="1" applyBorder="1" applyAlignment="1">
      <alignment horizontal="left" vertical="center" wrapText="1"/>
    </xf>
    <xf numFmtId="10" fontId="17" fillId="9" borderId="24" xfId="2" applyNumberFormat="1" applyFont="1" applyFill="1" applyBorder="1" applyAlignment="1">
      <alignment horizontal="center" vertical="center"/>
    </xf>
    <xf numFmtId="10" fontId="17" fillId="9" borderId="78" xfId="2" applyNumberFormat="1" applyFont="1" applyFill="1" applyBorder="1" applyAlignment="1">
      <alignment horizontal="center" vertical="center"/>
    </xf>
    <xf numFmtId="10" fontId="17" fillId="9" borderId="32" xfId="2" applyNumberFormat="1" applyFont="1" applyFill="1" applyBorder="1" applyAlignment="1">
      <alignment horizontal="center" vertical="center"/>
    </xf>
    <xf numFmtId="164" fontId="17" fillId="9" borderId="7" xfId="2" applyNumberFormat="1" applyFont="1" applyFill="1" applyBorder="1" applyAlignment="1">
      <alignment horizontal="center" vertical="center"/>
    </xf>
    <xf numFmtId="164" fontId="17" fillId="9" borderId="10" xfId="3" applyFont="1" applyFill="1" applyBorder="1" applyAlignment="1">
      <alignment horizontal="center" vertical="center"/>
    </xf>
    <xf numFmtId="164" fontId="17" fillId="9" borderId="11" xfId="3" applyFont="1" applyFill="1" applyBorder="1" applyAlignment="1">
      <alignment horizontal="center" vertical="center"/>
    </xf>
    <xf numFmtId="164" fontId="17" fillId="9" borderId="12" xfId="3" applyFont="1" applyFill="1" applyBorder="1" applyAlignment="1">
      <alignment horizontal="center" vertical="center"/>
    </xf>
    <xf numFmtId="10" fontId="17" fillId="23" borderId="7" xfId="2" applyNumberFormat="1" applyFont="1" applyFill="1" applyBorder="1" applyAlignment="1">
      <alignment horizontal="center" vertical="center"/>
    </xf>
    <xf numFmtId="44" fontId="17" fillId="23" borderId="1" xfId="7" applyFont="1" applyFill="1" applyBorder="1" applyAlignment="1">
      <alignment horizontal="center" vertical="center"/>
    </xf>
    <xf numFmtId="44" fontId="17" fillId="23" borderId="2" xfId="7" applyFont="1" applyFill="1" applyBorder="1" applyAlignment="1">
      <alignment horizontal="center" vertical="center"/>
    </xf>
    <xf numFmtId="44" fontId="17" fillId="23" borderId="3" xfId="7" applyFont="1" applyFill="1" applyBorder="1" applyAlignment="1">
      <alignment horizontal="center" vertical="center"/>
    </xf>
    <xf numFmtId="44" fontId="17" fillId="23" borderId="5" xfId="7" applyFont="1" applyFill="1" applyBorder="1" applyAlignment="1">
      <alignment horizontal="center" vertical="center"/>
    </xf>
    <xf numFmtId="44" fontId="17" fillId="23" borderId="0" xfId="7" applyFont="1" applyFill="1" applyBorder="1" applyAlignment="1">
      <alignment horizontal="center" vertical="center"/>
    </xf>
    <xf numFmtId="44" fontId="17" fillId="23" borderId="4" xfId="7" applyFont="1" applyFill="1" applyBorder="1" applyAlignment="1">
      <alignment horizontal="center" vertical="center"/>
    </xf>
    <xf numFmtId="44" fontId="17" fillId="23" borderId="8" xfId="7" applyFont="1" applyFill="1" applyBorder="1" applyAlignment="1">
      <alignment horizontal="center" vertical="center"/>
    </xf>
    <xf numFmtId="44" fontId="17" fillId="23" borderId="6" xfId="7" applyFont="1" applyFill="1" applyBorder="1" applyAlignment="1">
      <alignment horizontal="center" vertical="center"/>
    </xf>
    <xf numFmtId="44" fontId="17" fillId="23" borderId="9" xfId="7" applyFont="1" applyFill="1" applyBorder="1" applyAlignment="1">
      <alignment horizontal="center" vertical="center"/>
    </xf>
    <xf numFmtId="9" fontId="17" fillId="23" borderId="1" xfId="2" applyFont="1" applyFill="1" applyBorder="1" applyAlignment="1">
      <alignment horizontal="center" vertical="center"/>
    </xf>
    <xf numFmtId="9" fontId="17" fillId="23" borderId="3" xfId="2" applyFont="1" applyFill="1" applyBorder="1" applyAlignment="1">
      <alignment horizontal="center" vertical="center"/>
    </xf>
    <xf numFmtId="9" fontId="17" fillId="23" borderId="5" xfId="2" applyFont="1" applyFill="1" applyBorder="1" applyAlignment="1">
      <alignment horizontal="center" vertical="center"/>
    </xf>
    <xf numFmtId="9" fontId="17" fillId="23" borderId="4" xfId="2" applyFont="1" applyFill="1" applyBorder="1" applyAlignment="1">
      <alignment horizontal="center" vertical="center"/>
    </xf>
    <xf numFmtId="9" fontId="17" fillId="23" borderId="8" xfId="2" applyFont="1" applyFill="1" applyBorder="1" applyAlignment="1">
      <alignment horizontal="center" vertical="center"/>
    </xf>
    <xf numFmtId="9" fontId="17" fillId="23" borderId="9" xfId="2" applyFont="1" applyFill="1" applyBorder="1" applyAlignment="1">
      <alignment horizontal="center" vertical="center"/>
    </xf>
    <xf numFmtId="0" fontId="21" fillId="23" borderId="7" xfId="0" applyNumberFormat="1" applyFont="1" applyFill="1" applyBorder="1" applyAlignment="1">
      <alignment horizontal="center" vertical="center"/>
    </xf>
    <xf numFmtId="0" fontId="21" fillId="23" borderId="7" xfId="0" applyNumberFormat="1" applyFont="1" applyFill="1" applyBorder="1" applyAlignment="1">
      <alignment horizontal="left" vertical="center"/>
    </xf>
    <xf numFmtId="44" fontId="17" fillId="0" borderId="7" xfId="7" applyFont="1" applyBorder="1" applyAlignment="1">
      <alignment horizontal="center" vertical="center"/>
    </xf>
    <xf numFmtId="0" fontId="15" fillId="0" borderId="7" xfId="0" applyNumberFormat="1" applyFont="1" applyFill="1" applyBorder="1" applyAlignment="1">
      <alignment horizontal="center" vertical="center" wrapText="1"/>
    </xf>
    <xf numFmtId="0" fontId="21" fillId="8" borderId="10" xfId="0" applyNumberFormat="1" applyFont="1" applyFill="1" applyBorder="1" applyAlignment="1">
      <alignment horizontal="left" vertical="center"/>
    </xf>
    <xf numFmtId="0" fontId="21" fillId="8" borderId="11" xfId="0" applyNumberFormat="1" applyFont="1" applyFill="1" applyBorder="1" applyAlignment="1">
      <alignment horizontal="left" vertical="center"/>
    </xf>
    <xf numFmtId="0" fontId="21" fillId="8" borderId="12" xfId="0" applyNumberFormat="1" applyFont="1" applyFill="1" applyBorder="1" applyAlignment="1">
      <alignment horizontal="left" vertical="center"/>
    </xf>
    <xf numFmtId="1" fontId="17" fillId="8" borderId="10" xfId="3" applyNumberFormat="1" applyFont="1" applyFill="1" applyBorder="1" applyAlignment="1">
      <alignment horizontal="center" vertical="center"/>
    </xf>
    <xf numFmtId="1" fontId="17" fillId="8" borderId="11" xfId="3" applyNumberFormat="1" applyFont="1" applyFill="1" applyBorder="1" applyAlignment="1">
      <alignment horizontal="center" vertical="center"/>
    </xf>
    <xf numFmtId="1" fontId="17" fillId="8" borderId="12" xfId="3" applyNumberFormat="1" applyFont="1" applyFill="1" applyBorder="1" applyAlignment="1">
      <alignment horizontal="center" vertical="center"/>
    </xf>
    <xf numFmtId="49" fontId="17" fillId="0" borderId="1" xfId="0" applyNumberFormat="1" applyFont="1" applyBorder="1" applyAlignment="1">
      <alignment horizontal="center" vertical="center"/>
    </xf>
    <xf numFmtId="49" fontId="17" fillId="0" borderId="3" xfId="0" applyNumberFormat="1" applyFont="1" applyBorder="1" applyAlignment="1">
      <alignment horizontal="center" vertical="center"/>
    </xf>
    <xf numFmtId="49" fontId="17" fillId="0" borderId="8" xfId="0" applyNumberFormat="1" applyFont="1" applyBorder="1" applyAlignment="1">
      <alignment horizontal="center" vertical="center"/>
    </xf>
    <xf numFmtId="49" fontId="17" fillId="0" borderId="9" xfId="0" applyNumberFormat="1" applyFont="1" applyBorder="1" applyAlignment="1">
      <alignment horizontal="center" vertical="center"/>
    </xf>
    <xf numFmtId="49" fontId="17" fillId="0" borderId="2" xfId="0" applyNumberFormat="1" applyFont="1" applyBorder="1" applyAlignment="1">
      <alignment horizontal="center" vertical="center"/>
    </xf>
    <xf numFmtId="49" fontId="17" fillId="0" borderId="6" xfId="0" applyNumberFormat="1" applyFont="1" applyBorder="1" applyAlignment="1">
      <alignment horizontal="center" vertical="center"/>
    </xf>
    <xf numFmtId="49" fontId="17" fillId="0" borderId="1"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49" fontId="17" fillId="0" borderId="9" xfId="0" applyNumberFormat="1" applyFont="1" applyBorder="1" applyAlignment="1">
      <alignment horizontal="center" vertical="center" wrapText="1"/>
    </xf>
    <xf numFmtId="9" fontId="11" fillId="0" borderId="24" xfId="0" applyNumberFormat="1" applyFont="1" applyBorder="1" applyAlignment="1">
      <alignment horizontal="center" vertical="center" wrapText="1"/>
    </xf>
    <xf numFmtId="9" fontId="11" fillId="0" borderId="32" xfId="0" applyNumberFormat="1" applyFont="1" applyBorder="1" applyAlignment="1">
      <alignment horizontal="center" vertical="center" wrapText="1"/>
    </xf>
    <xf numFmtId="10" fontId="17" fillId="8" borderId="78" xfId="2" applyNumberFormat="1" applyFont="1" applyFill="1" applyBorder="1" applyAlignment="1">
      <alignment horizontal="center" vertical="center"/>
    </xf>
    <xf numFmtId="9" fontId="17" fillId="8" borderId="10" xfId="2" applyFont="1" applyFill="1" applyBorder="1" applyAlignment="1">
      <alignment horizontal="center" vertical="center"/>
    </xf>
    <xf numFmtId="9" fontId="17" fillId="8" borderId="12" xfId="2" applyFont="1" applyFill="1" applyBorder="1" applyAlignment="1">
      <alignment horizontal="center" vertical="center"/>
    </xf>
    <xf numFmtId="1" fontId="17" fillId="9" borderId="10" xfId="3" applyNumberFormat="1" applyFont="1" applyFill="1" applyBorder="1" applyAlignment="1">
      <alignment horizontal="center" vertical="center"/>
    </xf>
    <xf numFmtId="1" fontId="17" fillId="9" borderId="11" xfId="3" applyNumberFormat="1" applyFont="1" applyFill="1" applyBorder="1" applyAlignment="1">
      <alignment horizontal="center" vertical="center"/>
    </xf>
    <xf numFmtId="1" fontId="17" fillId="9" borderId="12" xfId="3" applyNumberFormat="1" applyFont="1" applyFill="1" applyBorder="1" applyAlignment="1">
      <alignment horizontal="center" vertical="center"/>
    </xf>
    <xf numFmtId="9" fontId="17" fillId="9" borderId="10" xfId="2" applyFont="1" applyFill="1" applyBorder="1" applyAlignment="1">
      <alignment horizontal="center" vertical="center"/>
    </xf>
    <xf numFmtId="9" fontId="17" fillId="9" borderId="12" xfId="2" applyFont="1" applyFill="1" applyBorder="1" applyAlignment="1">
      <alignment horizontal="center" vertical="center"/>
    </xf>
    <xf numFmtId="0" fontId="21" fillId="8" borderId="1" xfId="0" applyNumberFormat="1" applyFont="1" applyFill="1" applyBorder="1" applyAlignment="1">
      <alignment horizontal="center" vertical="center"/>
    </xf>
    <xf numFmtId="0" fontId="21" fillId="8" borderId="3" xfId="0" applyNumberFormat="1" applyFont="1" applyFill="1" applyBorder="1" applyAlignment="1">
      <alignment horizontal="center" vertical="center"/>
    </xf>
    <xf numFmtId="0" fontId="21" fillId="8" borderId="5" xfId="0" applyNumberFormat="1" applyFont="1" applyFill="1" applyBorder="1" applyAlignment="1">
      <alignment horizontal="center" vertical="center"/>
    </xf>
    <xf numFmtId="0" fontId="21" fillId="8" borderId="4" xfId="0" applyNumberFormat="1" applyFont="1" applyFill="1" applyBorder="1" applyAlignment="1">
      <alignment horizontal="center" vertical="center"/>
    </xf>
    <xf numFmtId="0" fontId="21" fillId="8" borderId="8" xfId="0" applyNumberFormat="1" applyFont="1" applyFill="1" applyBorder="1" applyAlignment="1">
      <alignment horizontal="center" vertical="center"/>
    </xf>
    <xf numFmtId="0" fontId="21" fillId="8" borderId="9" xfId="0" applyNumberFormat="1" applyFont="1" applyFill="1" applyBorder="1" applyAlignment="1">
      <alignment horizontal="center" vertical="center"/>
    </xf>
    <xf numFmtId="49" fontId="17" fillId="0" borderId="2"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1" fontId="17" fillId="9" borderId="1" xfId="3" applyNumberFormat="1" applyFont="1" applyFill="1" applyBorder="1" applyAlignment="1">
      <alignment horizontal="center" vertical="center"/>
    </xf>
    <xf numFmtId="1" fontId="17" fillId="9" borderId="2" xfId="3" applyNumberFormat="1" applyFont="1" applyFill="1" applyBorder="1" applyAlignment="1">
      <alignment horizontal="center" vertical="center"/>
    </xf>
    <xf numFmtId="1" fontId="17" fillId="9" borderId="3" xfId="3" applyNumberFormat="1" applyFont="1" applyFill="1" applyBorder="1" applyAlignment="1">
      <alignment horizontal="center" vertical="center"/>
    </xf>
    <xf numFmtId="1" fontId="17" fillId="9" borderId="5" xfId="3" applyNumberFormat="1" applyFont="1" applyFill="1" applyBorder="1" applyAlignment="1">
      <alignment horizontal="center" vertical="center"/>
    </xf>
    <xf numFmtId="1" fontId="17" fillId="9" borderId="0" xfId="3" applyNumberFormat="1" applyFont="1" applyFill="1" applyBorder="1" applyAlignment="1">
      <alignment horizontal="center" vertical="center"/>
    </xf>
    <xf numFmtId="1" fontId="17" fillId="9" borderId="4" xfId="3" applyNumberFormat="1" applyFont="1" applyFill="1" applyBorder="1" applyAlignment="1">
      <alignment horizontal="center" vertical="center"/>
    </xf>
    <xf numFmtId="1" fontId="17" fillId="9" borderId="8" xfId="3" applyNumberFormat="1" applyFont="1" applyFill="1" applyBorder="1" applyAlignment="1">
      <alignment horizontal="center" vertical="center"/>
    </xf>
    <xf numFmtId="1" fontId="17" fillId="9" borderId="6" xfId="3" applyNumberFormat="1" applyFont="1" applyFill="1" applyBorder="1" applyAlignment="1">
      <alignment horizontal="center" vertical="center"/>
    </xf>
    <xf numFmtId="1" fontId="17" fillId="9" borderId="9" xfId="3" applyNumberFormat="1" applyFont="1" applyFill="1" applyBorder="1" applyAlignment="1">
      <alignment horizontal="center" vertical="center"/>
    </xf>
    <xf numFmtId="1" fontId="17" fillId="9" borderId="1" xfId="3" applyNumberFormat="1" applyFont="1" applyFill="1" applyBorder="1" applyAlignment="1">
      <alignment horizontal="center" vertical="center" wrapText="1"/>
    </xf>
    <xf numFmtId="1" fontId="17" fillId="9" borderId="2" xfId="3" applyNumberFormat="1" applyFont="1" applyFill="1" applyBorder="1" applyAlignment="1">
      <alignment horizontal="center" vertical="center" wrapText="1"/>
    </xf>
    <xf numFmtId="1" fontId="17" fillId="9" borderId="3" xfId="3" applyNumberFormat="1" applyFont="1" applyFill="1" applyBorder="1" applyAlignment="1">
      <alignment horizontal="center" vertical="center" wrapText="1"/>
    </xf>
    <xf numFmtId="1" fontId="17" fillId="9" borderId="5" xfId="3" applyNumberFormat="1" applyFont="1" applyFill="1" applyBorder="1" applyAlignment="1">
      <alignment horizontal="center" vertical="center" wrapText="1"/>
    </xf>
    <xf numFmtId="1" fontId="17" fillId="9" borderId="0" xfId="3" applyNumberFormat="1" applyFont="1" applyFill="1" applyBorder="1" applyAlignment="1">
      <alignment horizontal="center" vertical="center" wrapText="1"/>
    </xf>
    <xf numFmtId="1" fontId="17" fillId="9" borderId="4" xfId="3" applyNumberFormat="1" applyFont="1" applyFill="1" applyBorder="1" applyAlignment="1">
      <alignment horizontal="center" vertical="center" wrapText="1"/>
    </xf>
    <xf numFmtId="1" fontId="17" fillId="9" borderId="8" xfId="3" applyNumberFormat="1" applyFont="1" applyFill="1" applyBorder="1" applyAlignment="1">
      <alignment horizontal="center" vertical="center" wrapText="1"/>
    </xf>
    <xf numFmtId="1" fontId="17" fillId="9" borderId="6" xfId="3" applyNumberFormat="1" applyFont="1" applyFill="1" applyBorder="1" applyAlignment="1">
      <alignment horizontal="center" vertical="center" wrapText="1"/>
    </xf>
    <xf numFmtId="1" fontId="17" fillId="9" borderId="9" xfId="3" applyNumberFormat="1" applyFont="1" applyFill="1" applyBorder="1" applyAlignment="1">
      <alignment horizontal="center" vertical="center" wrapText="1"/>
    </xf>
    <xf numFmtId="1" fontId="17" fillId="8" borderId="7" xfId="3" applyNumberFormat="1" applyFont="1" applyFill="1" applyBorder="1" applyAlignment="1">
      <alignment horizontal="center" vertical="center"/>
    </xf>
    <xf numFmtId="1" fontId="17" fillId="9" borderId="7" xfId="3" applyNumberFormat="1" applyFont="1" applyFill="1" applyBorder="1" applyAlignment="1">
      <alignment horizontal="center" vertical="center"/>
    </xf>
    <xf numFmtId="0" fontId="25" fillId="0" borderId="33" xfId="12" applyFont="1" applyBorder="1" applyAlignment="1">
      <alignment horizontal="center" vertical="center"/>
    </xf>
    <xf numFmtId="0" fontId="25" fillId="0" borderId="34" xfId="12" applyFont="1" applyBorder="1" applyAlignment="1">
      <alignment horizontal="center" vertical="center"/>
    </xf>
    <xf numFmtId="0" fontId="25" fillId="0" borderId="38" xfId="12" applyFont="1" applyBorder="1" applyAlignment="1">
      <alignment horizontal="center" vertical="center"/>
    </xf>
    <xf numFmtId="0" fontId="25" fillId="0" borderId="0" xfId="12" applyFont="1" applyAlignment="1">
      <alignment horizontal="center" vertical="center"/>
    </xf>
    <xf numFmtId="0" fontId="25" fillId="0" borderId="43" xfId="12" applyFont="1" applyBorder="1" applyAlignment="1">
      <alignment horizontal="center" vertical="center"/>
    </xf>
    <xf numFmtId="0" fontId="25" fillId="0" borderId="44" xfId="12" applyFont="1" applyBorder="1" applyAlignment="1">
      <alignment horizontal="center" vertical="center"/>
    </xf>
    <xf numFmtId="0" fontId="26" fillId="10" borderId="33" xfId="12" applyFont="1" applyFill="1" applyBorder="1" applyAlignment="1">
      <alignment horizontal="center" vertical="center"/>
    </xf>
    <xf numFmtId="0" fontId="26" fillId="10" borderId="34" xfId="12" applyFont="1" applyFill="1" applyBorder="1" applyAlignment="1">
      <alignment horizontal="center" vertical="center"/>
    </xf>
    <xf numFmtId="0" fontId="26" fillId="10" borderId="35" xfId="12" applyFont="1" applyFill="1" applyBorder="1" applyAlignment="1">
      <alignment horizontal="center" vertical="center"/>
    </xf>
    <xf numFmtId="0" fontId="26" fillId="10" borderId="39" xfId="12" applyFont="1" applyFill="1" applyBorder="1" applyAlignment="1">
      <alignment horizontal="center" vertical="center"/>
    </xf>
    <xf numFmtId="0" fontId="26" fillId="10" borderId="6" xfId="12" applyFont="1" applyFill="1" applyBorder="1" applyAlignment="1">
      <alignment horizontal="center" vertical="center"/>
    </xf>
    <xf numFmtId="0" fontId="26" fillId="10" borderId="40" xfId="12" applyFont="1" applyFill="1" applyBorder="1" applyAlignment="1">
      <alignment horizontal="center" vertical="center"/>
    </xf>
    <xf numFmtId="0" fontId="26" fillId="0" borderId="43" xfId="12" applyFont="1" applyBorder="1" applyAlignment="1">
      <alignment horizontal="center" vertical="center"/>
    </xf>
    <xf numFmtId="0" fontId="26" fillId="0" borderId="44" xfId="12" applyFont="1" applyBorder="1" applyAlignment="1">
      <alignment horizontal="center" vertical="center"/>
    </xf>
    <xf numFmtId="0" fontId="26" fillId="0" borderId="45" xfId="12" applyFont="1" applyBorder="1" applyAlignment="1">
      <alignment horizontal="center" vertical="center"/>
    </xf>
    <xf numFmtId="0" fontId="22" fillId="11" borderId="33" xfId="0" applyFont="1" applyFill="1" applyBorder="1" applyAlignment="1">
      <alignment horizontal="center" vertical="center" wrapText="1"/>
    </xf>
    <xf numFmtId="0" fontId="22" fillId="11" borderId="34" xfId="0" applyFont="1" applyFill="1" applyBorder="1" applyAlignment="1">
      <alignment horizontal="center" vertical="center" wrapText="1"/>
    </xf>
    <xf numFmtId="0" fontId="22" fillId="12" borderId="48" xfId="0" applyFont="1" applyFill="1" applyBorder="1" applyAlignment="1">
      <alignment horizontal="center" vertical="center"/>
    </xf>
    <xf numFmtId="0" fontId="22" fillId="12" borderId="49" xfId="0" applyFont="1" applyFill="1" applyBorder="1" applyAlignment="1">
      <alignment horizontal="center" vertical="center"/>
    </xf>
    <xf numFmtId="0" fontId="22" fillId="12" borderId="50" xfId="0" applyFont="1" applyFill="1" applyBorder="1" applyAlignment="1">
      <alignment horizontal="center" vertical="center"/>
    </xf>
    <xf numFmtId="0" fontId="22" fillId="13" borderId="48" xfId="0" applyFont="1" applyFill="1" applyBorder="1" applyAlignment="1">
      <alignment horizontal="center" vertical="center"/>
    </xf>
    <xf numFmtId="0" fontId="22" fillId="13" borderId="49" xfId="0" applyFont="1" applyFill="1" applyBorder="1" applyAlignment="1">
      <alignment horizontal="center" vertical="center"/>
    </xf>
    <xf numFmtId="0" fontId="22" fillId="14" borderId="33" xfId="0" applyFont="1" applyFill="1" applyBorder="1" applyAlignment="1">
      <alignment horizontal="center" vertical="center"/>
    </xf>
    <xf numFmtId="0" fontId="22" fillId="14" borderId="34" xfId="0" applyFont="1" applyFill="1" applyBorder="1" applyAlignment="1">
      <alignment horizontal="center" vertical="center"/>
    </xf>
    <xf numFmtId="0" fontId="22" fillId="14" borderId="35" xfId="0" applyFont="1" applyFill="1" applyBorder="1" applyAlignment="1">
      <alignment horizontal="center" vertical="center"/>
    </xf>
    <xf numFmtId="0" fontId="22" fillId="11" borderId="48" xfId="0" applyFont="1" applyFill="1" applyBorder="1" applyAlignment="1">
      <alignment horizontal="center" vertical="center" wrapText="1"/>
    </xf>
    <xf numFmtId="0" fontId="22" fillId="11" borderId="49" xfId="0" applyFont="1" applyFill="1" applyBorder="1" applyAlignment="1">
      <alignment horizontal="center" vertical="center" wrapText="1"/>
    </xf>
    <xf numFmtId="0" fontId="22" fillId="11" borderId="50" xfId="0" applyFont="1" applyFill="1" applyBorder="1" applyAlignment="1">
      <alignment horizontal="center" vertical="center" wrapText="1"/>
    </xf>
    <xf numFmtId="0" fontId="22" fillId="13" borderId="48" xfId="0" applyFont="1" applyFill="1" applyBorder="1" applyAlignment="1">
      <alignment horizontal="center" vertical="center" wrapText="1"/>
    </xf>
    <xf numFmtId="0" fontId="22" fillId="13" borderId="50" xfId="0" applyFont="1" applyFill="1" applyBorder="1" applyAlignment="1">
      <alignment horizontal="center" vertical="center" wrapText="1"/>
    </xf>
    <xf numFmtId="0" fontId="22" fillId="20" borderId="48" xfId="12" applyFont="1" applyFill="1" applyBorder="1" applyAlignment="1">
      <alignment horizontal="center" vertical="center"/>
    </xf>
    <xf numFmtId="0" fontId="22" fillId="20" borderId="49" xfId="12" applyFont="1" applyFill="1" applyBorder="1" applyAlignment="1">
      <alignment horizontal="center" vertical="center"/>
    </xf>
    <xf numFmtId="0" fontId="22" fillId="20" borderId="50" xfId="12" applyFont="1" applyFill="1" applyBorder="1" applyAlignment="1">
      <alignment horizontal="center" vertical="center"/>
    </xf>
    <xf numFmtId="0" fontId="21" fillId="18" borderId="33" xfId="6" applyFill="1" applyBorder="1" applyAlignment="1">
      <alignment horizontal="left" vertical="center" wrapText="1"/>
    </xf>
    <xf numFmtId="0" fontId="21" fillId="18" borderId="34" xfId="6" applyFill="1" applyBorder="1" applyAlignment="1">
      <alignment horizontal="left" vertical="center" wrapText="1"/>
    </xf>
    <xf numFmtId="0" fontId="21" fillId="18" borderId="35" xfId="6" applyFill="1" applyBorder="1" applyAlignment="1">
      <alignment horizontal="left" vertical="center" wrapText="1"/>
    </xf>
    <xf numFmtId="0" fontId="17" fillId="22" borderId="7" xfId="6" applyFont="1" applyFill="1" applyBorder="1" applyAlignment="1">
      <alignment horizontal="center" wrapText="1"/>
    </xf>
    <xf numFmtId="0" fontId="21" fillId="22" borderId="7" xfId="6" applyFill="1" applyBorder="1" applyAlignment="1">
      <alignment horizontal="center" vertical="center" wrapText="1"/>
    </xf>
    <xf numFmtId="0" fontId="21" fillId="18" borderId="7" xfId="6" applyFill="1" applyBorder="1" applyAlignment="1">
      <alignment horizontal="left" vertical="center" wrapText="1"/>
    </xf>
    <xf numFmtId="0" fontId="21" fillId="21" borderId="7" xfId="6" applyFill="1" applyBorder="1" applyAlignment="1">
      <alignment horizontal="center" wrapText="1"/>
    </xf>
    <xf numFmtId="0" fontId="21" fillId="21" borderId="7" xfId="6" applyFill="1" applyBorder="1" applyAlignment="1">
      <alignment horizontal="center" vertical="center" wrapText="1"/>
    </xf>
    <xf numFmtId="0" fontId="21" fillId="6" borderId="7" xfId="6" applyFill="1" applyBorder="1" applyAlignment="1">
      <alignment horizontal="center" vertical="center" wrapText="1"/>
    </xf>
    <xf numFmtId="0" fontId="21" fillId="18" borderId="10" xfId="6" applyFill="1" applyBorder="1" applyAlignment="1">
      <alignment horizontal="left" vertical="center" wrapText="1"/>
    </xf>
    <xf numFmtId="0" fontId="21" fillId="18" borderId="11" xfId="6" applyFill="1" applyBorder="1" applyAlignment="1">
      <alignment horizontal="left" vertical="center" wrapText="1"/>
    </xf>
    <xf numFmtId="0" fontId="21" fillId="18" borderId="12" xfId="6" applyFill="1" applyBorder="1" applyAlignment="1">
      <alignment horizontal="left" vertical="center" wrapText="1"/>
    </xf>
    <xf numFmtId="0" fontId="21" fillId="24" borderId="7" xfId="6" applyFill="1" applyBorder="1" applyAlignment="1">
      <alignment horizontal="center" wrapText="1"/>
    </xf>
    <xf numFmtId="0" fontId="21" fillId="21" borderId="10" xfId="6" applyFill="1" applyBorder="1" applyAlignment="1">
      <alignment horizontal="center" vertical="center"/>
    </xf>
    <xf numFmtId="0" fontId="21" fillId="21" borderId="12" xfId="6" applyFill="1" applyBorder="1" applyAlignment="1">
      <alignment horizontal="center" vertical="center"/>
    </xf>
    <xf numFmtId="0" fontId="17" fillId="22" borderId="1" xfId="6" applyFont="1" applyFill="1" applyBorder="1" applyAlignment="1">
      <alignment horizontal="center" vertical="center" wrapText="1"/>
    </xf>
    <xf numFmtId="0" fontId="17" fillId="22" borderId="2" xfId="6" applyFont="1" applyFill="1" applyBorder="1" applyAlignment="1">
      <alignment horizontal="center" vertical="center" wrapText="1"/>
    </xf>
    <xf numFmtId="0" fontId="17" fillId="22" borderId="3" xfId="6" applyFont="1" applyFill="1" applyBorder="1" applyAlignment="1">
      <alignment horizontal="center" vertical="center" wrapText="1"/>
    </xf>
    <xf numFmtId="0" fontId="17" fillId="22" borderId="8" xfId="6" applyFont="1" applyFill="1" applyBorder="1" applyAlignment="1">
      <alignment horizontal="center" vertical="center" wrapText="1"/>
    </xf>
    <xf numFmtId="0" fontId="17" fillId="22" borderId="6" xfId="6" applyFont="1" applyFill="1" applyBorder="1" applyAlignment="1">
      <alignment horizontal="center" vertical="center" wrapText="1"/>
    </xf>
    <xf numFmtId="0" fontId="17" fillId="22" borderId="9" xfId="6" applyFont="1" applyFill="1" applyBorder="1" applyAlignment="1">
      <alignment horizontal="center" vertical="center" wrapText="1"/>
    </xf>
    <xf numFmtId="0" fontId="21" fillId="25" borderId="7" xfId="6" applyFill="1" applyBorder="1" applyAlignment="1">
      <alignment horizontal="center" wrapText="1"/>
    </xf>
    <xf numFmtId="0" fontId="24" fillId="0" borderId="0" xfId="12" applyFont="1" applyAlignment="1">
      <alignment horizontal="center"/>
    </xf>
    <xf numFmtId="0" fontId="3" fillId="0" borderId="0" xfId="12" applyAlignment="1">
      <alignment horizontal="center"/>
    </xf>
    <xf numFmtId="0" fontId="25" fillId="0" borderId="33" xfId="15" applyFont="1" applyBorder="1" applyAlignment="1">
      <alignment horizontal="center" vertical="center"/>
    </xf>
    <xf numFmtId="0" fontId="25" fillId="0" borderId="34" xfId="15" applyFont="1" applyBorder="1" applyAlignment="1">
      <alignment horizontal="center" vertical="center"/>
    </xf>
    <xf numFmtId="0" fontId="25" fillId="0" borderId="38" xfId="15" applyFont="1" applyBorder="1" applyAlignment="1">
      <alignment horizontal="center" vertical="center"/>
    </xf>
    <xf numFmtId="0" fontId="25" fillId="0" borderId="0" xfId="15" applyFont="1" applyBorder="1" applyAlignment="1">
      <alignment horizontal="center" vertical="center"/>
    </xf>
    <xf numFmtId="0" fontId="25" fillId="0" borderId="43" xfId="15" applyFont="1" applyBorder="1" applyAlignment="1">
      <alignment horizontal="center" vertical="center"/>
    </xf>
    <xf numFmtId="0" fontId="25" fillId="0" borderId="44" xfId="15" applyFont="1" applyBorder="1" applyAlignment="1">
      <alignment horizontal="center" vertical="center"/>
    </xf>
    <xf numFmtId="0" fontId="26" fillId="10" borderId="33" xfId="15" applyFont="1" applyFill="1" applyBorder="1" applyAlignment="1">
      <alignment horizontal="center" vertical="center"/>
    </xf>
    <xf numFmtId="0" fontId="26" fillId="10" borderId="34" xfId="15" applyFont="1" applyFill="1" applyBorder="1" applyAlignment="1">
      <alignment horizontal="center" vertical="center"/>
    </xf>
    <xf numFmtId="0" fontId="26" fillId="10" borderId="35" xfId="15" applyFont="1" applyFill="1" applyBorder="1" applyAlignment="1">
      <alignment horizontal="center" vertical="center"/>
    </xf>
    <xf numFmtId="0" fontId="26" fillId="10" borderId="39" xfId="15" applyFont="1" applyFill="1" applyBorder="1" applyAlignment="1">
      <alignment horizontal="center" vertical="center"/>
    </xf>
    <xf numFmtId="0" fontId="26" fillId="10" borderId="6" xfId="15" applyFont="1" applyFill="1" applyBorder="1" applyAlignment="1">
      <alignment horizontal="center" vertical="center"/>
    </xf>
    <xf numFmtId="0" fontId="26" fillId="10" borderId="40" xfId="15" applyFont="1" applyFill="1" applyBorder="1" applyAlignment="1">
      <alignment horizontal="center" vertical="center"/>
    </xf>
    <xf numFmtId="0" fontId="26" fillId="0" borderId="43" xfId="15" applyFont="1" applyFill="1" applyBorder="1" applyAlignment="1">
      <alignment horizontal="center" vertical="center"/>
    </xf>
    <xf numFmtId="0" fontId="26" fillId="0" borderId="44" xfId="15" applyFont="1" applyFill="1" applyBorder="1" applyAlignment="1">
      <alignment horizontal="center" vertical="center"/>
    </xf>
    <xf numFmtId="0" fontId="26" fillId="0" borderId="45" xfId="15" applyFont="1" applyFill="1" applyBorder="1" applyAlignment="1">
      <alignment horizontal="center" vertical="center"/>
    </xf>
    <xf numFmtId="0" fontId="22" fillId="11" borderId="33" xfId="15" applyFont="1" applyFill="1" applyBorder="1" applyAlignment="1">
      <alignment horizontal="center" vertical="center" wrapText="1"/>
    </xf>
    <xf numFmtId="0" fontId="22" fillId="11" borderId="34" xfId="15" applyFont="1" applyFill="1" applyBorder="1" applyAlignment="1">
      <alignment horizontal="center" vertical="center" wrapText="1"/>
    </xf>
    <xf numFmtId="0" fontId="22" fillId="12" borderId="48" xfId="15" applyFont="1" applyFill="1" applyBorder="1" applyAlignment="1">
      <alignment horizontal="center" vertical="center"/>
    </xf>
    <xf numFmtId="0" fontId="22" fillId="12" borderId="49" xfId="15" applyFont="1" applyFill="1" applyBorder="1" applyAlignment="1">
      <alignment horizontal="center" vertical="center"/>
    </xf>
    <xf numFmtId="0" fontId="22" fillId="12" borderId="50" xfId="15" applyFont="1" applyFill="1" applyBorder="1" applyAlignment="1">
      <alignment horizontal="center" vertical="center"/>
    </xf>
    <xf numFmtId="0" fontId="22" fillId="13" borderId="48" xfId="15" applyFont="1" applyFill="1" applyBorder="1" applyAlignment="1">
      <alignment horizontal="center" vertical="center"/>
    </xf>
    <xf numFmtId="0" fontId="22" fillId="13" borderId="49" xfId="15" applyFont="1" applyFill="1" applyBorder="1" applyAlignment="1">
      <alignment horizontal="center" vertical="center"/>
    </xf>
    <xf numFmtId="0" fontId="22" fillId="14" borderId="33" xfId="15" applyFont="1" applyFill="1" applyBorder="1" applyAlignment="1">
      <alignment horizontal="center" vertical="center"/>
    </xf>
    <xf numFmtId="0" fontId="22" fillId="14" borderId="34" xfId="15" applyFont="1" applyFill="1" applyBorder="1" applyAlignment="1">
      <alignment horizontal="center" vertical="center"/>
    </xf>
    <xf numFmtId="0" fontId="22" fillId="14" borderId="35" xfId="15" applyFont="1" applyFill="1" applyBorder="1" applyAlignment="1">
      <alignment horizontal="center" vertical="center"/>
    </xf>
    <xf numFmtId="0" fontId="22" fillId="11" borderId="48" xfId="15" applyFont="1" applyFill="1" applyBorder="1" applyAlignment="1">
      <alignment horizontal="center" vertical="center" wrapText="1"/>
    </xf>
    <xf numFmtId="0" fontId="22" fillId="11" borderId="49" xfId="15" applyFont="1" applyFill="1" applyBorder="1" applyAlignment="1">
      <alignment horizontal="center" vertical="center" wrapText="1"/>
    </xf>
    <xf numFmtId="0" fontId="22" fillId="11" borderId="50" xfId="15" applyFont="1" applyFill="1" applyBorder="1" applyAlignment="1">
      <alignment horizontal="center" vertical="center" wrapText="1"/>
    </xf>
    <xf numFmtId="0" fontId="22" fillId="13" borderId="48" xfId="15" applyFont="1" applyFill="1" applyBorder="1" applyAlignment="1">
      <alignment horizontal="center" vertical="center" wrapText="1"/>
    </xf>
    <xf numFmtId="0" fontId="22" fillId="13" borderId="50" xfId="15" applyFont="1" applyFill="1" applyBorder="1" applyAlignment="1">
      <alignment horizontal="center" vertical="center" wrapText="1"/>
    </xf>
    <xf numFmtId="0" fontId="22" fillId="20" borderId="48" xfId="15" applyFont="1" applyFill="1" applyBorder="1" applyAlignment="1">
      <alignment horizontal="center" vertical="center"/>
    </xf>
    <xf numFmtId="0" fontId="22" fillId="20" borderId="49" xfId="15" applyFont="1" applyFill="1" applyBorder="1" applyAlignment="1">
      <alignment horizontal="center" vertical="center"/>
    </xf>
    <xf numFmtId="0" fontId="22" fillId="20" borderId="50" xfId="15" applyFont="1" applyFill="1" applyBorder="1" applyAlignment="1">
      <alignment horizontal="center" vertical="center"/>
    </xf>
    <xf numFmtId="0" fontId="21" fillId="18" borderId="33" xfId="6" applyFont="1" applyFill="1" applyBorder="1" applyAlignment="1">
      <alignment horizontal="left" vertical="center" wrapText="1"/>
    </xf>
    <xf numFmtId="0" fontId="21" fillId="18" borderId="34" xfId="6" applyFont="1" applyFill="1" applyBorder="1" applyAlignment="1">
      <alignment horizontal="left" vertical="center" wrapText="1"/>
    </xf>
    <xf numFmtId="0" fontId="21" fillId="18" borderId="35" xfId="6" applyFont="1" applyFill="1" applyBorder="1" applyAlignment="1">
      <alignment horizontal="left" vertical="center" wrapText="1"/>
    </xf>
    <xf numFmtId="0" fontId="21" fillId="22" borderId="7" xfId="6" applyFont="1" applyFill="1" applyBorder="1" applyAlignment="1">
      <alignment horizontal="center" vertical="center" wrapText="1"/>
    </xf>
    <xf numFmtId="0" fontId="21" fillId="18" borderId="7" xfId="6" applyFont="1" applyFill="1" applyBorder="1" applyAlignment="1">
      <alignment horizontal="left" vertical="center" wrapText="1"/>
    </xf>
    <xf numFmtId="0" fontId="21" fillId="21" borderId="7" xfId="6" applyFont="1" applyFill="1" applyBorder="1" applyAlignment="1">
      <alignment horizontal="center" wrapText="1"/>
    </xf>
    <xf numFmtId="0" fontId="21" fillId="21" borderId="7" xfId="6" applyFont="1" applyFill="1" applyBorder="1" applyAlignment="1">
      <alignment horizontal="center" vertical="center" wrapText="1"/>
    </xf>
    <xf numFmtId="0" fontId="21" fillId="6" borderId="7" xfId="6" applyFont="1" applyFill="1" applyBorder="1" applyAlignment="1">
      <alignment horizontal="center" vertical="center" wrapText="1"/>
    </xf>
    <xf numFmtId="0" fontId="21" fillId="18" borderId="10" xfId="6" applyFont="1" applyFill="1" applyBorder="1" applyAlignment="1">
      <alignment horizontal="left" vertical="center" wrapText="1"/>
    </xf>
    <xf numFmtId="0" fontId="21" fillId="18" borderId="11" xfId="6" applyFont="1" applyFill="1" applyBorder="1" applyAlignment="1">
      <alignment horizontal="left" vertical="center" wrapText="1"/>
    </xf>
    <xf numFmtId="0" fontId="21" fillId="18" borderId="12" xfId="6" applyFont="1" applyFill="1" applyBorder="1" applyAlignment="1">
      <alignment horizontal="left" vertical="center" wrapText="1"/>
    </xf>
    <xf numFmtId="0" fontId="21" fillId="24" borderId="7" xfId="6" applyFont="1" applyFill="1" applyBorder="1" applyAlignment="1">
      <alignment horizontal="center" wrapText="1"/>
    </xf>
    <xf numFmtId="0" fontId="21" fillId="21" borderId="10" xfId="6" applyFont="1" applyFill="1" applyBorder="1" applyAlignment="1">
      <alignment horizontal="center" vertical="center"/>
    </xf>
    <xf numFmtId="0" fontId="21" fillId="21" borderId="12" xfId="6" applyFont="1" applyFill="1" applyBorder="1" applyAlignment="1">
      <alignment horizontal="center" vertical="center"/>
    </xf>
    <xf numFmtId="0" fontId="21" fillId="25" borderId="7" xfId="6" applyFont="1" applyFill="1" applyBorder="1" applyAlignment="1">
      <alignment horizontal="center" wrapText="1"/>
    </xf>
    <xf numFmtId="0" fontId="24" fillId="0" borderId="0" xfId="15" applyFont="1" applyAlignment="1">
      <alignment horizontal="center"/>
    </xf>
    <xf numFmtId="0" fontId="3" fillId="0" borderId="0" xfId="15" applyAlignment="1">
      <alignment horizontal="center"/>
    </xf>
    <xf numFmtId="0" fontId="1" fillId="29" borderId="33" xfId="19" applyFill="1" applyBorder="1" applyAlignment="1">
      <alignment horizontal="center" vertical="center" wrapText="1"/>
    </xf>
    <xf numFmtId="0" fontId="1" fillId="29" borderId="34" xfId="19" applyFill="1" applyBorder="1" applyAlignment="1">
      <alignment horizontal="center" vertical="center" wrapText="1"/>
    </xf>
    <xf numFmtId="0" fontId="1" fillId="29" borderId="43" xfId="19" applyFill="1" applyBorder="1" applyAlignment="1">
      <alignment horizontal="center" vertical="center" wrapText="1"/>
    </xf>
    <xf numFmtId="0" fontId="1" fillId="29" borderId="44" xfId="19" applyFill="1" applyBorder="1" applyAlignment="1">
      <alignment horizontal="center" vertical="center" wrapText="1"/>
    </xf>
    <xf numFmtId="0" fontId="24" fillId="0" borderId="48" xfId="19" applyFont="1" applyBorder="1" applyAlignment="1">
      <alignment horizontal="center"/>
    </xf>
    <xf numFmtId="0" fontId="24" fillId="0" borderId="49" xfId="19" applyFont="1" applyBorder="1" applyAlignment="1">
      <alignment horizontal="center"/>
    </xf>
    <xf numFmtId="0" fontId="24" fillId="0" borderId="50" xfId="19" applyFont="1" applyBorder="1" applyAlignment="1">
      <alignment horizontal="center"/>
    </xf>
    <xf numFmtId="0" fontId="29" fillId="16" borderId="83" xfId="19" applyFont="1" applyFill="1" applyBorder="1" applyAlignment="1">
      <alignment horizontal="center" vertical="center" wrapText="1"/>
    </xf>
    <xf numFmtId="0" fontId="29" fillId="16" borderId="41" xfId="19" applyFont="1" applyFill="1" applyBorder="1" applyAlignment="1">
      <alignment horizontal="center" vertical="center" wrapText="1"/>
    </xf>
    <xf numFmtId="0" fontId="29" fillId="11" borderId="32" xfId="19" applyFont="1" applyFill="1" applyBorder="1" applyAlignment="1">
      <alignment horizontal="center"/>
    </xf>
    <xf numFmtId="0" fontId="29" fillId="17" borderId="32" xfId="19" applyFont="1" applyFill="1" applyBorder="1" applyAlignment="1">
      <alignment horizontal="center" vertical="center" wrapText="1"/>
    </xf>
    <xf numFmtId="0" fontId="29" fillId="17" borderId="7" xfId="19" applyFont="1" applyFill="1" applyBorder="1" applyAlignment="1">
      <alignment horizontal="center" vertical="center" wrapText="1"/>
    </xf>
    <xf numFmtId="0" fontId="29" fillId="11" borderId="32" xfId="19" applyFont="1" applyFill="1" applyBorder="1" applyAlignment="1">
      <alignment horizontal="center" vertical="center" wrapText="1"/>
    </xf>
    <xf numFmtId="0" fontId="29" fillId="14" borderId="32" xfId="19" applyFont="1" applyFill="1" applyBorder="1" applyAlignment="1">
      <alignment horizontal="center" vertical="center" wrapText="1"/>
    </xf>
    <xf numFmtId="0" fontId="29" fillId="14" borderId="84" xfId="19" applyFont="1" applyFill="1" applyBorder="1" applyAlignment="1">
      <alignment horizontal="center" vertical="center" wrapText="1"/>
    </xf>
    <xf numFmtId="0" fontId="21" fillId="18" borderId="38" xfId="6" applyFont="1" applyFill="1" applyBorder="1" applyAlignment="1">
      <alignment horizontal="left" wrapText="1"/>
    </xf>
    <xf numFmtId="0" fontId="21" fillId="18" borderId="0" xfId="6" applyFont="1" applyFill="1" applyBorder="1" applyAlignment="1">
      <alignment horizontal="left" wrapText="1"/>
    </xf>
    <xf numFmtId="0" fontId="21" fillId="18" borderId="82" xfId="6" applyFont="1" applyFill="1" applyBorder="1" applyAlignment="1">
      <alignment horizontal="left" wrapText="1"/>
    </xf>
    <xf numFmtId="0" fontId="21" fillId="18" borderId="43" xfId="6" applyFont="1" applyFill="1" applyBorder="1" applyAlignment="1">
      <alignment horizontal="left" wrapText="1"/>
    </xf>
    <xf numFmtId="0" fontId="21" fillId="18" borderId="44" xfId="6" applyFont="1" applyFill="1" applyBorder="1" applyAlignment="1">
      <alignment horizontal="left" wrapText="1"/>
    </xf>
    <xf numFmtId="0" fontId="21" fillId="18" borderId="45" xfId="6" applyFont="1" applyFill="1" applyBorder="1" applyAlignment="1">
      <alignment horizontal="left" wrapText="1"/>
    </xf>
    <xf numFmtId="0" fontId="24" fillId="29" borderId="48" xfId="19" applyFont="1" applyFill="1" applyBorder="1" applyAlignment="1">
      <alignment horizontal="center"/>
    </xf>
    <xf numFmtId="0" fontId="24" fillId="29" borderId="49" xfId="19" applyFont="1" applyFill="1" applyBorder="1" applyAlignment="1">
      <alignment horizontal="center"/>
    </xf>
    <xf numFmtId="0" fontId="24" fillId="29" borderId="50" xfId="19" applyFont="1" applyFill="1" applyBorder="1" applyAlignment="1">
      <alignment horizontal="center"/>
    </xf>
    <xf numFmtId="0" fontId="22" fillId="14" borderId="33" xfId="19" applyFont="1" applyFill="1" applyBorder="1" applyAlignment="1">
      <alignment horizontal="center" vertical="center" wrapText="1"/>
    </xf>
    <xf numFmtId="0" fontId="22" fillId="14" borderId="35" xfId="19" applyFont="1" applyFill="1" applyBorder="1" applyAlignment="1">
      <alignment horizontal="center" vertical="center" wrapText="1"/>
    </xf>
    <xf numFmtId="0" fontId="22" fillId="20" borderId="48" xfId="19" applyFont="1" applyFill="1" applyBorder="1" applyAlignment="1">
      <alignment horizontal="center"/>
    </xf>
    <xf numFmtId="0" fontId="22" fillId="20" borderId="49" xfId="19" applyFont="1" applyFill="1" applyBorder="1" applyAlignment="1">
      <alignment horizontal="center"/>
    </xf>
    <xf numFmtId="0" fontId="22" fillId="20" borderId="50" xfId="19" applyFont="1" applyFill="1" applyBorder="1" applyAlignment="1">
      <alignment horizontal="center"/>
    </xf>
    <xf numFmtId="0" fontId="21" fillId="18" borderId="33" xfId="6" applyFont="1" applyFill="1" applyBorder="1" applyAlignment="1">
      <alignment horizontal="left" wrapText="1"/>
    </xf>
    <xf numFmtId="0" fontId="21" fillId="18" borderId="34" xfId="6" applyFont="1" applyFill="1" applyBorder="1" applyAlignment="1">
      <alignment horizontal="left" wrapText="1"/>
    </xf>
    <xf numFmtId="0" fontId="21" fillId="18" borderId="35" xfId="6" applyFont="1" applyFill="1" applyBorder="1" applyAlignment="1">
      <alignment horizontal="left" wrapText="1"/>
    </xf>
    <xf numFmtId="0" fontId="25" fillId="0" borderId="33" xfId="19" applyFont="1" applyBorder="1" applyAlignment="1">
      <alignment horizontal="center" vertical="center"/>
    </xf>
    <xf numFmtId="0" fontId="25" fillId="0" borderId="34" xfId="19" applyFont="1" applyBorder="1" applyAlignment="1">
      <alignment horizontal="center" vertical="center"/>
    </xf>
    <xf numFmtId="0" fontId="25" fillId="0" borderId="38" xfId="19" applyFont="1" applyBorder="1" applyAlignment="1">
      <alignment horizontal="center" vertical="center"/>
    </xf>
    <xf numFmtId="0" fontId="25" fillId="0" borderId="0" xfId="19" applyFont="1" applyBorder="1" applyAlignment="1">
      <alignment horizontal="center" vertical="center"/>
    </xf>
    <xf numFmtId="0" fontId="25" fillId="0" borderId="43" xfId="19" applyFont="1" applyBorder="1" applyAlignment="1">
      <alignment horizontal="center" vertical="center"/>
    </xf>
    <xf numFmtId="0" fontId="25" fillId="0" borderId="44" xfId="19" applyFont="1" applyBorder="1" applyAlignment="1">
      <alignment horizontal="center" vertical="center"/>
    </xf>
    <xf numFmtId="0" fontId="26" fillId="10" borderId="33" xfId="19" applyFont="1" applyFill="1" applyBorder="1" applyAlignment="1">
      <alignment horizontal="center" vertical="center"/>
    </xf>
    <xf numFmtId="0" fontId="26" fillId="10" borderId="34" xfId="19" applyFont="1" applyFill="1" applyBorder="1" applyAlignment="1">
      <alignment horizontal="center" vertical="center"/>
    </xf>
    <xf numFmtId="0" fontId="26" fillId="10" borderId="35" xfId="19" applyFont="1" applyFill="1" applyBorder="1" applyAlignment="1">
      <alignment horizontal="center" vertical="center"/>
    </xf>
    <xf numFmtId="0" fontId="26" fillId="10" borderId="39" xfId="19" applyFont="1" applyFill="1" applyBorder="1" applyAlignment="1">
      <alignment horizontal="center" vertical="center"/>
    </xf>
    <xf numFmtId="0" fontId="26" fillId="10" borderId="6" xfId="19" applyFont="1" applyFill="1" applyBorder="1" applyAlignment="1">
      <alignment horizontal="center" vertical="center"/>
    </xf>
    <xf numFmtId="0" fontId="26" fillId="10" borderId="40" xfId="19" applyFont="1" applyFill="1" applyBorder="1" applyAlignment="1">
      <alignment horizontal="center" vertical="center"/>
    </xf>
    <xf numFmtId="0" fontId="26" fillId="0" borderId="43" xfId="19" applyFont="1" applyFill="1" applyBorder="1" applyAlignment="1">
      <alignment horizontal="center" vertical="center"/>
    </xf>
    <xf numFmtId="0" fontId="26" fillId="0" borderId="44" xfId="19" applyFont="1" applyFill="1" applyBorder="1" applyAlignment="1">
      <alignment horizontal="center" vertical="center"/>
    </xf>
    <xf numFmtId="0" fontId="26" fillId="0" borderId="45" xfId="19" applyFont="1" applyFill="1" applyBorder="1" applyAlignment="1">
      <alignment horizontal="center" vertical="center"/>
    </xf>
    <xf numFmtId="0" fontId="22" fillId="11" borderId="33" xfId="19" applyFont="1" applyFill="1" applyBorder="1" applyAlignment="1">
      <alignment horizontal="center" vertical="center" wrapText="1"/>
    </xf>
    <xf numFmtId="0" fontId="22" fillId="11" borderId="34" xfId="19" applyFont="1" applyFill="1" applyBorder="1" applyAlignment="1">
      <alignment horizontal="center" vertical="center" wrapText="1"/>
    </xf>
    <xf numFmtId="0" fontId="22" fillId="11" borderId="35" xfId="19" applyFont="1" applyFill="1" applyBorder="1" applyAlignment="1">
      <alignment horizontal="center" vertical="center" wrapText="1"/>
    </xf>
    <xf numFmtId="0" fontId="22" fillId="12" borderId="34" xfId="19" applyFont="1" applyFill="1" applyBorder="1" applyAlignment="1">
      <alignment horizontal="center" vertical="center"/>
    </xf>
    <xf numFmtId="0" fontId="22" fillId="12" borderId="35" xfId="19" applyFont="1" applyFill="1" applyBorder="1" applyAlignment="1">
      <alignment horizontal="center" vertical="center"/>
    </xf>
    <xf numFmtId="0" fontId="22" fillId="14" borderId="33" xfId="19" applyFont="1" applyFill="1" applyBorder="1" applyAlignment="1">
      <alignment horizontal="center" vertical="center"/>
    </xf>
    <xf numFmtId="0" fontId="22" fillId="14" borderId="34" xfId="19" applyFont="1" applyFill="1" applyBorder="1" applyAlignment="1">
      <alignment horizontal="center" vertical="center"/>
    </xf>
    <xf numFmtId="0" fontId="22" fillId="14" borderId="35" xfId="19" applyFont="1" applyFill="1" applyBorder="1" applyAlignment="1">
      <alignment horizontal="center" vertical="center"/>
    </xf>
  </cellXfs>
  <cellStyles count="20">
    <cellStyle name="Millares" xfId="10" builtinId="3"/>
    <cellStyle name="Moneda" xfId="7" builtinId="4"/>
    <cellStyle name="Moneda [0]" xfId="3" builtinId="7"/>
    <cellStyle name="Normal" xfId="0" builtinId="0"/>
    <cellStyle name="Normal 2" xfId="1"/>
    <cellStyle name="Normal 2 2" xfId="6"/>
    <cellStyle name="Normal 3" xfId="4"/>
    <cellStyle name="Normal 3 2" xfId="12"/>
    <cellStyle name="Normal 4" xfId="8"/>
    <cellStyle name="Normal 4 2" xfId="17"/>
    <cellStyle name="Normal 5" xfId="11"/>
    <cellStyle name="Normal 5 2" xfId="13"/>
    <cellStyle name="Normal 6" xfId="15"/>
    <cellStyle name="Normal 7" xfId="19"/>
    <cellStyle name="Porcentaje" xfId="2" builtinId="5"/>
    <cellStyle name="Porcentaje 2" xfId="5"/>
    <cellStyle name="Porcentaje 2 2" xfId="14"/>
    <cellStyle name="Porcentaje 3" xfId="9"/>
    <cellStyle name="Porcentaje 3 2" xfId="18"/>
    <cellStyle name="Porcentaje 5" xfId="16"/>
  </cellStyles>
  <dxfs count="6">
    <dxf>
      <font>
        <color rgb="FF006100"/>
      </font>
      <fill>
        <patternFill>
          <bgColor rgb="FFC6EFCE"/>
        </patternFill>
      </fill>
    </dxf>
    <dxf>
      <font>
        <color rgb="FF9C0006"/>
      </font>
      <fill>
        <patternFill>
          <bgColor rgb="FFFFC7CE"/>
        </patternFill>
      </fill>
    </dxf>
    <dxf>
      <alignment horizontal="general" vertical="center" textRotation="0" wrapText="1" indent="0" justifyLastLine="0" shrinkToFit="0" readingOrder="0"/>
    </dxf>
    <dxf>
      <border outline="0">
        <top style="thin">
          <color indexed="64"/>
        </top>
      </border>
    </dxf>
    <dxf>
      <numFmt numFmtId="0" formatCode="General"/>
      <alignment horizontal="general" vertical="center" textRotation="0" wrapText="1" indent="0" justifyLastLine="0" shrinkToFit="0" readingOrder="0"/>
    </dxf>
    <dxf>
      <font>
        <b/>
        <i val="0"/>
        <strike val="0"/>
        <condense val="0"/>
        <extend val="0"/>
        <outline val="0"/>
        <shadow val="0"/>
        <u val="none"/>
        <vertAlign val="baseline"/>
        <sz val="10"/>
        <color theme="0"/>
        <name val="Arial"/>
        <scheme val="none"/>
      </font>
      <numFmt numFmtId="0" formatCode="General"/>
      <fill>
        <patternFill patternType="solid">
          <fgColor indexed="45"/>
          <bgColor theme="3" tint="-0.249977111117893"/>
        </patternFill>
      </fill>
      <alignment horizontal="general" vertical="center" textRotation="0" wrapText="1" indent="0" justifyLastLine="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4.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7.xml"/><Relationship Id="rId5" Type="http://schemas.openxmlformats.org/officeDocument/2006/relationships/worksheet" Target="worksheets/sheet5.xml"/><Relationship Id="rId61"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5.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3.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5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7.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'INDICADORES DE GESTIÓN '!$C$26</c:f>
              <c:strCache>
                <c:ptCount val="1"/>
                <c:pt idx="0">
                  <c:v>Datos</c:v>
                </c:pt>
              </c:strCache>
            </c:strRef>
          </c:tx>
          <c:spPr>
            <a:solidFill>
              <a:srgbClr val="004586"/>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'!$C$27:$C$38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B05-4F7F-857D-374DC26DC689}"/>
            </c:ext>
          </c:extLst>
        </c:ser>
        <c:ser>
          <c:idx val="1"/>
          <c:order val="1"/>
          <c:tx>
            <c:strRef>
              <c:f>'INDICADORES DE GESTIÓN '!$D$26</c:f>
              <c:strCache>
                <c:ptCount val="1"/>
                <c:pt idx="0">
                  <c:v>Meta Vigencia</c:v>
                </c:pt>
              </c:strCache>
            </c:strRef>
          </c:tx>
          <c:spPr>
            <a:solidFill>
              <a:srgbClr val="FF420E"/>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'!$D$27:$D$38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B05-4F7F-857D-374DC26DC689}"/>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'INDICADORES DE GESTIÓN '!$E$26</c:f>
              <c:strCache>
                <c:ptCount val="1"/>
                <c:pt idx="0">
                  <c:v>Meta Objetivo</c:v>
                </c:pt>
              </c:strCache>
            </c:strRef>
          </c:tx>
          <c:spPr>
            <a:ln w="38100">
              <a:solidFill>
                <a:srgbClr val="FFD320"/>
              </a:solidFill>
              <a:prstDash val="solid"/>
            </a:ln>
          </c:spPr>
          <c:marker>
            <c:symbol val="none"/>
          </c:marker>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4B05-4F7F-857D-374DC26DC689}"/>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PL-IND1'!$C$26</c:f>
              <c:strCache>
                <c:ptCount val="1"/>
                <c:pt idx="0">
                  <c:v>Datos</c:v>
                </c:pt>
              </c:strCache>
            </c:strRef>
          </c:tx>
          <c:spPr>
            <a:solidFill>
              <a:srgbClr val="004586"/>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PL-IND1'!$C$27:$C$38</c:f>
              <c:numCache>
                <c:formatCode>0%</c:formatCode>
                <c:ptCount val="12"/>
                <c:pt idx="0">
                  <c:v>1</c:v>
                </c:pt>
                <c:pt idx="3">
                  <c:v>0.96923076923076923</c:v>
                </c:pt>
                <c:pt idx="6">
                  <c:v>0.9375</c:v>
                </c:pt>
                <c:pt idx="9">
                  <c:v>0.9375</c:v>
                </c:pt>
              </c:numCache>
            </c:numRef>
          </c:val>
          <c:extLst>
            <c:ext xmlns:c16="http://schemas.microsoft.com/office/drawing/2014/chart" uri="{C3380CC4-5D6E-409C-BE32-E72D297353CC}">
              <c16:uniqueId val="{00000000-3D83-410C-8A35-0762B65DFD17}"/>
            </c:ext>
          </c:extLst>
        </c:ser>
        <c:ser>
          <c:idx val="1"/>
          <c:order val="1"/>
          <c:tx>
            <c:strRef>
              <c:f>'PLANEACIÓN PL-IND1'!$D$26</c:f>
              <c:strCache>
                <c:ptCount val="1"/>
                <c:pt idx="0">
                  <c:v>Meta Vigencia</c:v>
                </c:pt>
              </c:strCache>
            </c:strRef>
          </c:tx>
          <c:spPr>
            <a:solidFill>
              <a:srgbClr val="FF420E"/>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D83-410C-8A35-0762B65DFD1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PL-IND1'!$E$26</c:f>
              <c:strCache>
                <c:ptCount val="1"/>
                <c:pt idx="0">
                  <c:v>Meta Objetivo</c:v>
                </c:pt>
              </c:strCache>
            </c:strRef>
          </c:tx>
          <c:spPr>
            <a:ln w="38100">
              <a:solidFill>
                <a:srgbClr val="FFD320"/>
              </a:solidFill>
              <a:prstDash val="solid"/>
            </a:ln>
          </c:spPr>
          <c:marker>
            <c:symbol val="none"/>
          </c:marker>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D83-410C-8A35-0762B65DFD1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PL-IND2'!$C$26</c:f>
              <c:strCache>
                <c:ptCount val="1"/>
                <c:pt idx="0">
                  <c:v>Datos</c:v>
                </c:pt>
              </c:strCache>
            </c:strRef>
          </c:tx>
          <c:spPr>
            <a:solidFill>
              <a:srgbClr val="004586"/>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PL-IND2'!$C$27:$C$38</c:f>
              <c:numCache>
                <c:formatCode>0%</c:formatCode>
                <c:ptCount val="12"/>
                <c:pt idx="0">
                  <c:v>0</c:v>
                </c:pt>
                <c:pt idx="3">
                  <c:v>1</c:v>
                </c:pt>
                <c:pt idx="6">
                  <c:v>0</c:v>
                </c:pt>
                <c:pt idx="9">
                  <c:v>0</c:v>
                </c:pt>
              </c:numCache>
            </c:numRef>
          </c:val>
          <c:extLst>
            <c:ext xmlns:c16="http://schemas.microsoft.com/office/drawing/2014/chart" uri="{C3380CC4-5D6E-409C-BE32-E72D297353CC}">
              <c16:uniqueId val="{00000000-CA98-4BCC-84BD-6E9852F3309D}"/>
            </c:ext>
          </c:extLst>
        </c:ser>
        <c:ser>
          <c:idx val="1"/>
          <c:order val="1"/>
          <c:tx>
            <c:strRef>
              <c:f>'PLANEACIÓN PL-IND2'!$D$26</c:f>
              <c:strCache>
                <c:ptCount val="1"/>
                <c:pt idx="0">
                  <c:v>Meta Vigencia</c:v>
                </c:pt>
              </c:strCache>
            </c:strRef>
          </c:tx>
          <c:spPr>
            <a:solidFill>
              <a:srgbClr val="FF420E"/>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CA98-4BCC-84BD-6E9852F3309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PL-IND2'!$E$26</c:f>
              <c:strCache>
                <c:ptCount val="1"/>
                <c:pt idx="0">
                  <c:v>Meta Objetivo</c:v>
                </c:pt>
              </c:strCache>
            </c:strRef>
          </c:tx>
          <c:spPr>
            <a:ln w="38100">
              <a:solidFill>
                <a:srgbClr val="FFD320"/>
              </a:solidFill>
              <a:prstDash val="solid"/>
            </a:ln>
          </c:spPr>
          <c:marker>
            <c:symbol val="none"/>
          </c:marker>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98-4BCC-84BD-6E9852F3309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PL-IND3'!$C$26</c:f>
              <c:strCache>
                <c:ptCount val="1"/>
                <c:pt idx="0">
                  <c:v>Datos</c:v>
                </c:pt>
              </c:strCache>
            </c:strRef>
          </c:tx>
          <c:spPr>
            <a:solidFill>
              <a:srgbClr val="004586"/>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PL-IND3'!$C$27:$C$38</c:f>
              <c:numCache>
                <c:formatCode>0%</c:formatCode>
                <c:ptCount val="12"/>
                <c:pt idx="0">
                  <c:v>0.875</c:v>
                </c:pt>
                <c:pt idx="1">
                  <c:v>0</c:v>
                </c:pt>
                <c:pt idx="2">
                  <c:v>0</c:v>
                </c:pt>
                <c:pt idx="3">
                  <c:v>0</c:v>
                </c:pt>
                <c:pt idx="4">
                  <c:v>0.75</c:v>
                </c:pt>
                <c:pt idx="5">
                  <c:v>0</c:v>
                </c:pt>
                <c:pt idx="6">
                  <c:v>0</c:v>
                </c:pt>
                <c:pt idx="7">
                  <c:v>0</c:v>
                </c:pt>
                <c:pt idx="8">
                  <c:v>0.94117647058823528</c:v>
                </c:pt>
                <c:pt idx="9">
                  <c:v>0</c:v>
                </c:pt>
                <c:pt idx="10">
                  <c:v>0</c:v>
                </c:pt>
                <c:pt idx="11">
                  <c:v>0</c:v>
                </c:pt>
              </c:numCache>
            </c:numRef>
          </c:val>
          <c:extLst>
            <c:ext xmlns:c16="http://schemas.microsoft.com/office/drawing/2014/chart" uri="{C3380CC4-5D6E-409C-BE32-E72D297353CC}">
              <c16:uniqueId val="{00000000-5316-453E-A559-AEF6ED682133}"/>
            </c:ext>
          </c:extLst>
        </c:ser>
        <c:ser>
          <c:idx val="1"/>
          <c:order val="1"/>
          <c:tx>
            <c:strRef>
              <c:f>'PLANEACIÓN PL-IND3'!$D$26</c:f>
              <c:strCache>
                <c:ptCount val="1"/>
                <c:pt idx="0">
                  <c:v>Meta Vigencia</c:v>
                </c:pt>
              </c:strCache>
            </c:strRef>
          </c:tx>
          <c:spPr>
            <a:solidFill>
              <a:srgbClr val="FF420E"/>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PL-IND3'!$D$27:$D$38</c:f>
              <c:numCache>
                <c:formatCode>0%</c:formatCode>
                <c:ptCount val="12"/>
                <c:pt idx="0">
                  <c:v>1</c:v>
                </c:pt>
                <c:pt idx="4">
                  <c:v>1</c:v>
                </c:pt>
                <c:pt idx="5">
                  <c:v>1</c:v>
                </c:pt>
                <c:pt idx="6">
                  <c:v>1</c:v>
                </c:pt>
                <c:pt idx="7">
                  <c:v>1</c:v>
                </c:pt>
                <c:pt idx="8">
                  <c:v>1</c:v>
                </c:pt>
                <c:pt idx="9">
                  <c:v>1</c:v>
                </c:pt>
                <c:pt idx="10">
                  <c:v>1</c:v>
                </c:pt>
                <c:pt idx="11">
                  <c:v>0</c:v>
                </c:pt>
              </c:numCache>
            </c:numRef>
          </c:val>
          <c:extLst>
            <c:ext xmlns:c16="http://schemas.microsoft.com/office/drawing/2014/chart" uri="{C3380CC4-5D6E-409C-BE32-E72D297353CC}">
              <c16:uniqueId val="{00000001-5316-453E-A559-AEF6ED68213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PL-IND3'!$E$26</c:f>
              <c:strCache>
                <c:ptCount val="1"/>
                <c:pt idx="0">
                  <c:v>Meta Objetivo</c:v>
                </c:pt>
              </c:strCache>
            </c:strRef>
          </c:tx>
          <c:spPr>
            <a:ln w="38100">
              <a:solidFill>
                <a:srgbClr val="FFD320"/>
              </a:solidFill>
              <a:prstDash val="solid"/>
            </a:ln>
          </c:spPr>
          <c:marker>
            <c:symbol val="none"/>
          </c:marker>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316-453E-A559-AEF6ED68213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PL-IND4'!$C$26</c:f>
              <c:strCache>
                <c:ptCount val="1"/>
                <c:pt idx="0">
                  <c:v>Datos</c:v>
                </c:pt>
              </c:strCache>
            </c:strRef>
          </c:tx>
          <c:spPr>
            <a:solidFill>
              <a:srgbClr val="004586"/>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PL-IND4'!$C$27:$C$38</c:f>
              <c:numCache>
                <c:formatCode>0%</c:formatCode>
                <c:ptCount val="12"/>
                <c:pt idx="0">
                  <c:v>1</c:v>
                </c:pt>
                <c:pt idx="3">
                  <c:v>1</c:v>
                </c:pt>
                <c:pt idx="6">
                  <c:v>0.5494505494505495</c:v>
                </c:pt>
                <c:pt idx="9">
                  <c:v>0.5494505494505495</c:v>
                </c:pt>
              </c:numCache>
            </c:numRef>
          </c:val>
          <c:extLst>
            <c:ext xmlns:c16="http://schemas.microsoft.com/office/drawing/2014/chart" uri="{C3380CC4-5D6E-409C-BE32-E72D297353CC}">
              <c16:uniqueId val="{00000000-E3BB-46DB-BE8C-96B15779187B}"/>
            </c:ext>
          </c:extLst>
        </c:ser>
        <c:ser>
          <c:idx val="1"/>
          <c:order val="1"/>
          <c:tx>
            <c:strRef>
              <c:f>'PLANEACIÓN PL-IND4'!$D$26</c:f>
              <c:strCache>
                <c:ptCount val="1"/>
                <c:pt idx="0">
                  <c:v>Meta Vigencia</c:v>
                </c:pt>
              </c:strCache>
            </c:strRef>
          </c:tx>
          <c:spPr>
            <a:solidFill>
              <a:srgbClr val="FF420E"/>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3BB-46DB-BE8C-96B15779187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PL-IND4'!$E$26</c:f>
              <c:strCache>
                <c:ptCount val="1"/>
                <c:pt idx="0">
                  <c:v>Meta Objetivo</c:v>
                </c:pt>
              </c:strCache>
            </c:strRef>
          </c:tx>
          <c:spPr>
            <a:ln w="38100">
              <a:solidFill>
                <a:srgbClr val="FFD320"/>
              </a:solidFill>
              <a:prstDash val="solid"/>
            </a:ln>
          </c:spPr>
          <c:marker>
            <c:symbol val="none"/>
          </c:marker>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3BB-46DB-BE8C-96B15779187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GJU-IND1'!$C$26</c:f>
              <c:strCache>
                <c:ptCount val="1"/>
                <c:pt idx="0">
                  <c:v>Datos</c:v>
                </c:pt>
              </c:strCache>
            </c:strRef>
          </c:tx>
          <c:spPr>
            <a:solidFill>
              <a:srgbClr val="004586"/>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1CDD-461D-AE03-2A9FFA117FB5}"/>
            </c:ext>
          </c:extLst>
        </c:ser>
        <c:ser>
          <c:idx val="1"/>
          <c:order val="1"/>
          <c:tx>
            <c:strRef>
              <c:f>'JURÍDICA GJU-IND1'!$D$26</c:f>
              <c:strCache>
                <c:ptCount val="1"/>
                <c:pt idx="0">
                  <c:v>Meta Vigencia</c:v>
                </c:pt>
              </c:strCache>
            </c:strRef>
          </c:tx>
          <c:spPr>
            <a:solidFill>
              <a:srgbClr val="FF420E"/>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1CDD-461D-AE03-2A9FFA117FB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GJU-IND1'!$E$26</c:f>
              <c:strCache>
                <c:ptCount val="1"/>
                <c:pt idx="0">
                  <c:v>Meta Objetivo</c:v>
                </c:pt>
              </c:strCache>
            </c:strRef>
          </c:tx>
          <c:spPr>
            <a:ln w="38100">
              <a:solidFill>
                <a:srgbClr val="FFD320"/>
              </a:solidFill>
              <a:prstDash val="solid"/>
            </a:ln>
          </c:spPr>
          <c:marker>
            <c:symbol val="none"/>
          </c:marker>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CDD-461D-AE03-2A9FFA117FB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GJU-IND2'!$C$26</c:f>
              <c:strCache>
                <c:ptCount val="1"/>
                <c:pt idx="0">
                  <c:v>Datos</c:v>
                </c:pt>
              </c:strCache>
            </c:strRef>
          </c:tx>
          <c:spPr>
            <a:solidFill>
              <a:srgbClr val="004586"/>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F285-4341-B023-737AE4F859F4}"/>
            </c:ext>
          </c:extLst>
        </c:ser>
        <c:ser>
          <c:idx val="1"/>
          <c:order val="1"/>
          <c:tx>
            <c:strRef>
              <c:f>'JURÍDICA GJU-IND2'!$D$26</c:f>
              <c:strCache>
                <c:ptCount val="1"/>
                <c:pt idx="0">
                  <c:v>Meta Vigencia</c:v>
                </c:pt>
              </c:strCache>
            </c:strRef>
          </c:tx>
          <c:spPr>
            <a:solidFill>
              <a:srgbClr val="FF420E"/>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285-4341-B023-737AE4F859F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GJU-IND2'!$E$26</c:f>
              <c:strCache>
                <c:ptCount val="1"/>
                <c:pt idx="0">
                  <c:v>Meta Objetivo</c:v>
                </c:pt>
              </c:strCache>
            </c:strRef>
          </c:tx>
          <c:spPr>
            <a:ln w="38100">
              <a:solidFill>
                <a:srgbClr val="FFD320"/>
              </a:solidFill>
              <a:prstDash val="solid"/>
            </a:ln>
          </c:spPr>
          <c:marker>
            <c:symbol val="none"/>
          </c:marker>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285-4341-B023-737AE4F859F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GJU-IND3'!$C$26</c:f>
              <c:strCache>
                <c:ptCount val="1"/>
                <c:pt idx="0">
                  <c:v>Datos</c:v>
                </c:pt>
              </c:strCache>
            </c:strRef>
          </c:tx>
          <c:spPr>
            <a:solidFill>
              <a:srgbClr val="004586"/>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33A7-4637-A954-1F740230B43A}"/>
            </c:ext>
          </c:extLst>
        </c:ser>
        <c:ser>
          <c:idx val="1"/>
          <c:order val="1"/>
          <c:tx>
            <c:strRef>
              <c:f>'JURÍDICA GJU-IND3'!$D$26</c:f>
              <c:strCache>
                <c:ptCount val="1"/>
                <c:pt idx="0">
                  <c:v>Meta Vigencia</c:v>
                </c:pt>
              </c:strCache>
            </c:strRef>
          </c:tx>
          <c:spPr>
            <a:solidFill>
              <a:srgbClr val="FF420E"/>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3A7-4637-A954-1F740230B43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GJU-IND3'!$E$26</c:f>
              <c:strCache>
                <c:ptCount val="1"/>
                <c:pt idx="0">
                  <c:v>Meta Objetivo</c:v>
                </c:pt>
              </c:strCache>
            </c:strRef>
          </c:tx>
          <c:spPr>
            <a:ln w="38100">
              <a:solidFill>
                <a:srgbClr val="FFD320"/>
              </a:solidFill>
              <a:prstDash val="solid"/>
            </a:ln>
          </c:spPr>
          <c:marker>
            <c:symbol val="none"/>
          </c:marker>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3A7-4637-A954-1F740230B43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GJU-IND4'!$C$26</c:f>
              <c:strCache>
                <c:ptCount val="1"/>
                <c:pt idx="0">
                  <c:v>Datos</c:v>
                </c:pt>
              </c:strCache>
            </c:strRef>
          </c:tx>
          <c:spPr>
            <a:solidFill>
              <a:srgbClr val="004586"/>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CA29-46D6-A8BD-590B91B77F2B}"/>
            </c:ext>
          </c:extLst>
        </c:ser>
        <c:ser>
          <c:idx val="1"/>
          <c:order val="1"/>
          <c:tx>
            <c:strRef>
              <c:f>'JURÍDICA GJU-IND4'!$D$26</c:f>
              <c:strCache>
                <c:ptCount val="1"/>
                <c:pt idx="0">
                  <c:v>Meta Vigencia</c:v>
                </c:pt>
              </c:strCache>
            </c:strRef>
          </c:tx>
          <c:spPr>
            <a:solidFill>
              <a:srgbClr val="FF420E"/>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A29-46D6-A8BD-590B91B77F2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GJU-IND4'!$E$26</c:f>
              <c:strCache>
                <c:ptCount val="1"/>
                <c:pt idx="0">
                  <c:v>Meta Objetivo</c:v>
                </c:pt>
              </c:strCache>
            </c:strRef>
          </c:tx>
          <c:spPr>
            <a:ln w="38100">
              <a:solidFill>
                <a:srgbClr val="FFD320"/>
              </a:solidFill>
              <a:prstDash val="solid"/>
            </a:ln>
          </c:spPr>
          <c:marker>
            <c:symbol val="none"/>
          </c:marker>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29-46D6-A8BD-590B91B77F2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GJU-IND5'!$C$26</c:f>
              <c:strCache>
                <c:ptCount val="1"/>
                <c:pt idx="0">
                  <c:v>Datos</c:v>
                </c:pt>
              </c:strCache>
            </c:strRef>
          </c:tx>
          <c:spPr>
            <a:solidFill>
              <a:srgbClr val="004586"/>
            </a:solidFill>
            <a:ln w="25400">
              <a:noFill/>
            </a:ln>
          </c:spPr>
          <c:invertIfNegative val="0"/>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GJU-IND5'!$C$27:$C$38</c:f>
              <c:numCache>
                <c:formatCode>0%</c:formatCode>
                <c:ptCount val="12"/>
                <c:pt idx="0">
                  <c:v>0</c:v>
                </c:pt>
              </c:numCache>
            </c:numRef>
          </c:val>
          <c:extLst>
            <c:ext xmlns:c16="http://schemas.microsoft.com/office/drawing/2014/chart" uri="{C3380CC4-5D6E-409C-BE32-E72D297353CC}">
              <c16:uniqueId val="{00000000-5F87-4FC1-B1C1-DF0D4E25CB09}"/>
            </c:ext>
          </c:extLst>
        </c:ser>
        <c:ser>
          <c:idx val="1"/>
          <c:order val="1"/>
          <c:tx>
            <c:strRef>
              <c:f>'JURÍDICA GJU-IND5'!$D$26</c:f>
              <c:strCache>
                <c:ptCount val="1"/>
                <c:pt idx="0">
                  <c:v>Meta Vigencia</c:v>
                </c:pt>
              </c:strCache>
            </c:strRef>
          </c:tx>
          <c:spPr>
            <a:solidFill>
              <a:srgbClr val="FF420E"/>
            </a:solidFill>
            <a:ln w="25400">
              <a:noFill/>
            </a:ln>
          </c:spPr>
          <c:invertIfNegative val="0"/>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GJU-IND5'!$D$27:$D$38</c:f>
              <c:numCache>
                <c:formatCode>0%</c:formatCode>
                <c:ptCount val="12"/>
                <c:pt idx="0">
                  <c:v>0.3</c:v>
                </c:pt>
              </c:numCache>
            </c:numRef>
          </c:val>
          <c:extLst>
            <c:ext xmlns:c16="http://schemas.microsoft.com/office/drawing/2014/chart" uri="{C3380CC4-5D6E-409C-BE32-E72D297353CC}">
              <c16:uniqueId val="{00000001-5F87-4FC1-B1C1-DF0D4E25CB09}"/>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GJU-IND5'!$E$26</c:f>
              <c:strCache>
                <c:ptCount val="1"/>
                <c:pt idx="0">
                  <c:v>Meta Objetivo</c:v>
                </c:pt>
              </c:strCache>
            </c:strRef>
          </c:tx>
          <c:spPr>
            <a:ln w="38100">
              <a:solidFill>
                <a:srgbClr val="FFD320"/>
              </a:solidFill>
              <a:prstDash val="solid"/>
            </a:ln>
          </c:spPr>
          <c:marker>
            <c:symbol val="none"/>
          </c:marker>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GJU-IND5'!$E$27:$E$38</c:f>
              <c:numCache>
                <c:formatCode>0%</c:formatCode>
                <c:ptCount val="12"/>
                <c:pt idx="0">
                  <c:v>0.3</c:v>
                </c:pt>
                <c:pt idx="1">
                  <c:v>0.3</c:v>
                </c:pt>
                <c:pt idx="2">
                  <c:v>0.3</c:v>
                </c:pt>
                <c:pt idx="3">
                  <c:v>0.3</c:v>
                </c:pt>
                <c:pt idx="4">
                  <c:v>0.3</c:v>
                </c:pt>
                <c:pt idx="5">
                  <c:v>0.3</c:v>
                </c:pt>
                <c:pt idx="6">
                  <c:v>0.3</c:v>
                </c:pt>
                <c:pt idx="7">
                  <c:v>0.3</c:v>
                </c:pt>
                <c:pt idx="8">
                  <c:v>0.3</c:v>
                </c:pt>
                <c:pt idx="9">
                  <c:v>0.3</c:v>
                </c:pt>
                <c:pt idx="10">
                  <c:v>0.3</c:v>
                </c:pt>
                <c:pt idx="11">
                  <c:v>0</c:v>
                </c:pt>
              </c:numCache>
            </c:numRef>
          </c:val>
          <c:smooth val="0"/>
          <c:extLst>
            <c:ext xmlns:c16="http://schemas.microsoft.com/office/drawing/2014/chart" uri="{C3380CC4-5D6E-409C-BE32-E72D297353CC}">
              <c16:uniqueId val="{00000002-5F87-4FC1-B1C1-DF0D4E25CB09}"/>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INF-IND1'!$C$26</c:f>
              <c:strCache>
                <c:ptCount val="1"/>
                <c:pt idx="0">
                  <c:v>Datos</c:v>
                </c:pt>
              </c:strCache>
            </c:strRef>
          </c:tx>
          <c:spPr>
            <a:solidFill>
              <a:srgbClr val="004586"/>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INF-IND1'!$C$27:$C$38</c:f>
              <c:numCache>
                <c:formatCode>0%</c:formatCode>
                <c:ptCount val="12"/>
                <c:pt idx="0">
                  <c:v>0</c:v>
                </c:pt>
              </c:numCache>
            </c:numRef>
          </c:val>
          <c:extLst>
            <c:ext xmlns:c16="http://schemas.microsoft.com/office/drawing/2014/chart" uri="{C3380CC4-5D6E-409C-BE32-E72D297353CC}">
              <c16:uniqueId val="{00000000-5E2F-4883-89B0-5B1B0E820703}"/>
            </c:ext>
          </c:extLst>
        </c:ser>
        <c:ser>
          <c:idx val="1"/>
          <c:order val="1"/>
          <c:tx>
            <c:strRef>
              <c:f>'INFORMÁTICA INF-IND1'!$D$26</c:f>
              <c:strCache>
                <c:ptCount val="1"/>
                <c:pt idx="0">
                  <c:v>Meta Vigencia</c:v>
                </c:pt>
              </c:strCache>
            </c:strRef>
          </c:tx>
          <c:spPr>
            <a:solidFill>
              <a:srgbClr val="FF420E"/>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INF-IND1'!$D$27:$D$38</c:f>
              <c:numCache>
                <c:formatCode>0%</c:formatCode>
                <c:ptCount val="12"/>
                <c:pt idx="0">
                  <c:v>1</c:v>
                </c:pt>
              </c:numCache>
            </c:numRef>
          </c:val>
          <c:extLst>
            <c:ext xmlns:c16="http://schemas.microsoft.com/office/drawing/2014/chart" uri="{C3380CC4-5D6E-409C-BE32-E72D297353CC}">
              <c16:uniqueId val="{00000001-5E2F-4883-89B0-5B1B0E82070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INF-IND1'!$E$26</c:f>
              <c:strCache>
                <c:ptCount val="1"/>
                <c:pt idx="0">
                  <c:v>Meta Objetivo</c:v>
                </c:pt>
              </c:strCache>
            </c:strRef>
          </c:tx>
          <c:spPr>
            <a:ln w="38100">
              <a:solidFill>
                <a:srgbClr val="FFD320"/>
              </a:solidFill>
              <a:prstDash val="solid"/>
            </a:ln>
          </c:spPr>
          <c:marker>
            <c:symbol val="none"/>
          </c:marker>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E2F-4883-89B0-5B1B0E82070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INF-IND2'!$C$26</c:f>
              <c:strCache>
                <c:ptCount val="1"/>
                <c:pt idx="0">
                  <c:v>Datos</c:v>
                </c:pt>
              </c:strCache>
            </c:strRef>
          </c:tx>
          <c:spPr>
            <a:solidFill>
              <a:srgbClr val="004586"/>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INF-IND2'!$C$27:$C$38</c:f>
              <c:numCache>
                <c:formatCode>0%</c:formatCode>
                <c:ptCount val="12"/>
                <c:pt idx="0">
                  <c:v>0.85</c:v>
                </c:pt>
                <c:pt idx="3">
                  <c:v>0.9</c:v>
                </c:pt>
                <c:pt idx="6">
                  <c:v>0.96</c:v>
                </c:pt>
                <c:pt idx="9">
                  <c:v>0</c:v>
                </c:pt>
              </c:numCache>
            </c:numRef>
          </c:val>
          <c:extLst>
            <c:ext xmlns:c16="http://schemas.microsoft.com/office/drawing/2014/chart" uri="{C3380CC4-5D6E-409C-BE32-E72D297353CC}">
              <c16:uniqueId val="{00000000-C5B6-4B7A-B10D-692756D927E6}"/>
            </c:ext>
          </c:extLst>
        </c:ser>
        <c:ser>
          <c:idx val="1"/>
          <c:order val="1"/>
          <c:tx>
            <c:strRef>
              <c:f>'INFORMÁTICA INF-IND2'!$D$26</c:f>
              <c:strCache>
                <c:ptCount val="1"/>
                <c:pt idx="0">
                  <c:v>Meta Vigencia</c:v>
                </c:pt>
              </c:strCache>
            </c:strRef>
          </c:tx>
          <c:spPr>
            <a:solidFill>
              <a:srgbClr val="FF420E"/>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5B6-4B7A-B10D-692756D927E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INF-IND2'!$E$26</c:f>
              <c:strCache>
                <c:ptCount val="1"/>
                <c:pt idx="0">
                  <c:v>Meta Objetivo</c:v>
                </c:pt>
              </c:strCache>
            </c:strRef>
          </c:tx>
          <c:spPr>
            <a:ln w="38100">
              <a:solidFill>
                <a:srgbClr val="FFD320"/>
              </a:solidFill>
              <a:prstDash val="solid"/>
            </a:ln>
          </c:spPr>
          <c:marker>
            <c:symbol val="none"/>
          </c:marker>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5B6-4B7A-B10D-692756D927E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INF-IND3'!$C$26</c:f>
              <c:strCache>
                <c:ptCount val="1"/>
                <c:pt idx="0">
                  <c:v>Datos</c:v>
                </c:pt>
              </c:strCache>
            </c:strRef>
          </c:tx>
          <c:spPr>
            <a:solidFill>
              <a:srgbClr val="004586"/>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INF-IND3'!$C$27:$C$38</c:f>
              <c:numCache>
                <c:formatCode>0%</c:formatCode>
                <c:ptCount val="12"/>
                <c:pt idx="0">
                  <c:v>0.96842105263157896</c:v>
                </c:pt>
                <c:pt idx="3">
                  <c:v>0.97</c:v>
                </c:pt>
                <c:pt idx="6">
                  <c:v>0.99</c:v>
                </c:pt>
                <c:pt idx="9">
                  <c:v>0</c:v>
                </c:pt>
              </c:numCache>
            </c:numRef>
          </c:val>
          <c:extLst>
            <c:ext xmlns:c16="http://schemas.microsoft.com/office/drawing/2014/chart" uri="{C3380CC4-5D6E-409C-BE32-E72D297353CC}">
              <c16:uniqueId val="{00000000-EAEA-4F65-82DE-B844F85E293F}"/>
            </c:ext>
          </c:extLst>
        </c:ser>
        <c:ser>
          <c:idx val="1"/>
          <c:order val="1"/>
          <c:tx>
            <c:strRef>
              <c:f>'INFORMÁTICA INF-IND3'!$D$26</c:f>
              <c:strCache>
                <c:ptCount val="1"/>
                <c:pt idx="0">
                  <c:v>Meta Vigencia</c:v>
                </c:pt>
              </c:strCache>
            </c:strRef>
          </c:tx>
          <c:spPr>
            <a:solidFill>
              <a:srgbClr val="FF420E"/>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INF-IND3'!$D$27:$D$38</c:f>
              <c:numCache>
                <c:formatCode>0%</c:formatCode>
                <c:ptCount val="12"/>
                <c:pt idx="0">
                  <c:v>0.95</c:v>
                </c:pt>
                <c:pt idx="3">
                  <c:v>0.95</c:v>
                </c:pt>
                <c:pt idx="6">
                  <c:v>0.95</c:v>
                </c:pt>
                <c:pt idx="9">
                  <c:v>0.95</c:v>
                </c:pt>
              </c:numCache>
            </c:numRef>
          </c:val>
          <c:extLst>
            <c:ext xmlns:c16="http://schemas.microsoft.com/office/drawing/2014/chart" uri="{C3380CC4-5D6E-409C-BE32-E72D297353CC}">
              <c16:uniqueId val="{00000001-EAEA-4F65-82DE-B844F85E293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INF-IND3'!$E$26</c:f>
              <c:strCache>
                <c:ptCount val="1"/>
                <c:pt idx="0">
                  <c:v>Meta Objetivo</c:v>
                </c:pt>
              </c:strCache>
            </c:strRef>
          </c:tx>
          <c:spPr>
            <a:ln w="38100">
              <a:solidFill>
                <a:srgbClr val="FFD320"/>
              </a:solidFill>
              <a:prstDash val="solid"/>
            </a:ln>
          </c:spPr>
          <c:marker>
            <c:symbol val="none"/>
          </c:marker>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AEA-4F65-82DE-B844F85E293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INF-IND4'!$C$26</c:f>
              <c:strCache>
                <c:ptCount val="1"/>
                <c:pt idx="0">
                  <c:v>Datos</c:v>
                </c:pt>
              </c:strCache>
            </c:strRef>
          </c:tx>
          <c:spPr>
            <a:solidFill>
              <a:srgbClr val="004586"/>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INF-IND4'!$C$27:$C$38</c:f>
              <c:numCache>
                <c:formatCode>0%</c:formatCode>
                <c:ptCount val="12"/>
                <c:pt idx="0">
                  <c:v>0.81818181818181823</c:v>
                </c:pt>
                <c:pt idx="3">
                  <c:v>0.9555555555555556</c:v>
                </c:pt>
                <c:pt idx="6">
                  <c:v>0.98888888888888893</c:v>
                </c:pt>
                <c:pt idx="9">
                  <c:v>0</c:v>
                </c:pt>
              </c:numCache>
            </c:numRef>
          </c:val>
          <c:extLst>
            <c:ext xmlns:c16="http://schemas.microsoft.com/office/drawing/2014/chart" uri="{C3380CC4-5D6E-409C-BE32-E72D297353CC}">
              <c16:uniqueId val="{00000000-8ADB-49B0-9BD1-E86A77C57B1C}"/>
            </c:ext>
          </c:extLst>
        </c:ser>
        <c:ser>
          <c:idx val="1"/>
          <c:order val="1"/>
          <c:tx>
            <c:strRef>
              <c:f>'INFORMÁTICA INF-IND4'!$D$26</c:f>
              <c:strCache>
                <c:ptCount val="1"/>
                <c:pt idx="0">
                  <c:v>Meta Vigencia</c:v>
                </c:pt>
              </c:strCache>
            </c:strRef>
          </c:tx>
          <c:spPr>
            <a:solidFill>
              <a:srgbClr val="FF420E"/>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INF-IND4'!$D$27:$D$38</c:f>
              <c:numCache>
                <c:formatCode>0%</c:formatCode>
                <c:ptCount val="12"/>
                <c:pt idx="0">
                  <c:v>0.9</c:v>
                </c:pt>
                <c:pt idx="3">
                  <c:v>0.9</c:v>
                </c:pt>
                <c:pt idx="6">
                  <c:v>0.9</c:v>
                </c:pt>
                <c:pt idx="9">
                  <c:v>0.9</c:v>
                </c:pt>
              </c:numCache>
            </c:numRef>
          </c:val>
          <c:extLst>
            <c:ext xmlns:c16="http://schemas.microsoft.com/office/drawing/2014/chart" uri="{C3380CC4-5D6E-409C-BE32-E72D297353CC}">
              <c16:uniqueId val="{00000001-8ADB-49B0-9BD1-E86A77C57B1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INF-IND4'!$E$26</c:f>
              <c:strCache>
                <c:ptCount val="1"/>
                <c:pt idx="0">
                  <c:v>Meta Objetivo</c:v>
                </c:pt>
              </c:strCache>
            </c:strRef>
          </c:tx>
          <c:spPr>
            <a:ln w="38100">
              <a:solidFill>
                <a:srgbClr val="FFD320"/>
              </a:solidFill>
              <a:prstDash val="solid"/>
            </a:ln>
          </c:spPr>
          <c:marker>
            <c:symbol val="none"/>
          </c:marker>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INF-IND4'!$E$27:$E$38</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c:v>
                </c:pt>
              </c:numCache>
            </c:numRef>
          </c:val>
          <c:smooth val="0"/>
          <c:extLst>
            <c:ext xmlns:c16="http://schemas.microsoft.com/office/drawing/2014/chart" uri="{C3380CC4-5D6E-409C-BE32-E72D297353CC}">
              <c16:uniqueId val="{00000002-8ADB-49B0-9BD1-E86A77C57B1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 DOCUMENTAL GDOC-IND1'!$C$26</c:f>
              <c:strCache>
                <c:ptCount val="1"/>
                <c:pt idx="0">
                  <c:v>Datos</c:v>
                </c:pt>
              </c:strCache>
            </c:strRef>
          </c:tx>
          <c:spPr>
            <a:solidFill>
              <a:srgbClr val="004586"/>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GDOC-IND1'!$C$27:$C$38</c:f>
              <c:numCache>
                <c:formatCode>0%</c:formatCode>
                <c:ptCount val="12"/>
                <c:pt idx="0">
                  <c:v>0.19047619047619047</c:v>
                </c:pt>
                <c:pt idx="3">
                  <c:v>0</c:v>
                </c:pt>
                <c:pt idx="6">
                  <c:v>0</c:v>
                </c:pt>
                <c:pt idx="9">
                  <c:v>0</c:v>
                </c:pt>
              </c:numCache>
            </c:numRef>
          </c:val>
          <c:extLst>
            <c:ext xmlns:c16="http://schemas.microsoft.com/office/drawing/2014/chart" uri="{C3380CC4-5D6E-409C-BE32-E72D297353CC}">
              <c16:uniqueId val="{00000000-1A02-448F-BC6F-27A920B13ED1}"/>
            </c:ext>
          </c:extLst>
        </c:ser>
        <c:ser>
          <c:idx val="1"/>
          <c:order val="1"/>
          <c:tx>
            <c:strRef>
              <c:f>'GES. DOCUMENTAL GDOC-IND1'!$D$26</c:f>
              <c:strCache>
                <c:ptCount val="1"/>
                <c:pt idx="0">
                  <c:v>Meta Vigencia</c:v>
                </c:pt>
              </c:strCache>
            </c:strRef>
          </c:tx>
          <c:spPr>
            <a:solidFill>
              <a:srgbClr val="FF420E"/>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GDOC-IND1'!$D$27:$D$38</c:f>
              <c:numCache>
                <c:formatCode>0%</c:formatCode>
                <c:ptCount val="12"/>
                <c:pt idx="0">
                  <c:v>0.21</c:v>
                </c:pt>
                <c:pt idx="3">
                  <c:v>0.21</c:v>
                </c:pt>
                <c:pt idx="6">
                  <c:v>0.21</c:v>
                </c:pt>
                <c:pt idx="9">
                  <c:v>0.21</c:v>
                </c:pt>
              </c:numCache>
            </c:numRef>
          </c:val>
          <c:extLst>
            <c:ext xmlns:c16="http://schemas.microsoft.com/office/drawing/2014/chart" uri="{C3380CC4-5D6E-409C-BE32-E72D297353CC}">
              <c16:uniqueId val="{00000001-1A02-448F-BC6F-27A920B13ED1}"/>
            </c:ext>
          </c:extLst>
        </c:ser>
        <c:dLbls>
          <c:showLegendKey val="0"/>
          <c:showVal val="0"/>
          <c:showCatName val="0"/>
          <c:showSerName val="0"/>
          <c:showPercent val="0"/>
          <c:showBubbleSize val="0"/>
        </c:dLbls>
        <c:gapWidth val="150"/>
        <c:axId val="460707648"/>
        <c:axId val="460702160"/>
      </c:barChart>
      <c:lineChart>
        <c:grouping val="standard"/>
        <c:varyColors val="0"/>
        <c:ser>
          <c:idx val="0"/>
          <c:order val="2"/>
          <c:tx>
            <c:strRef>
              <c:f>'GES. DOCUMENTAL GDOC-IND1'!$E$26</c:f>
              <c:strCache>
                <c:ptCount val="1"/>
                <c:pt idx="0">
                  <c:v>Meta Objetivo</c:v>
                </c:pt>
              </c:strCache>
            </c:strRef>
          </c:tx>
          <c:spPr>
            <a:ln w="38100">
              <a:solidFill>
                <a:srgbClr val="FFD320"/>
              </a:solidFill>
              <a:prstDash val="solid"/>
            </a:ln>
          </c:spPr>
          <c:marker>
            <c:symbol val="none"/>
          </c:marker>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GDOC-IND1'!$E$27:$E$38</c:f>
              <c:numCache>
                <c:formatCode>0%</c:formatCode>
                <c:ptCount val="12"/>
                <c:pt idx="0">
                  <c:v>0.21</c:v>
                </c:pt>
                <c:pt idx="1">
                  <c:v>0.21</c:v>
                </c:pt>
                <c:pt idx="2">
                  <c:v>0.21</c:v>
                </c:pt>
                <c:pt idx="3">
                  <c:v>0.21</c:v>
                </c:pt>
                <c:pt idx="4">
                  <c:v>0.21</c:v>
                </c:pt>
                <c:pt idx="5">
                  <c:v>0.21</c:v>
                </c:pt>
                <c:pt idx="6">
                  <c:v>0.21</c:v>
                </c:pt>
                <c:pt idx="7">
                  <c:v>0.21</c:v>
                </c:pt>
                <c:pt idx="8">
                  <c:v>0.21</c:v>
                </c:pt>
                <c:pt idx="9">
                  <c:v>0.21</c:v>
                </c:pt>
                <c:pt idx="10">
                  <c:v>0.21</c:v>
                </c:pt>
                <c:pt idx="11">
                  <c:v>0</c:v>
                </c:pt>
              </c:numCache>
            </c:numRef>
          </c:val>
          <c:smooth val="0"/>
          <c:extLst>
            <c:ext xmlns:c16="http://schemas.microsoft.com/office/drawing/2014/chart" uri="{C3380CC4-5D6E-409C-BE32-E72D297353CC}">
              <c16:uniqueId val="{00000002-1A02-448F-BC6F-27A920B13ED1}"/>
            </c:ext>
          </c:extLst>
        </c:ser>
        <c:dLbls>
          <c:showLegendKey val="0"/>
          <c:showVal val="0"/>
          <c:showCatName val="0"/>
          <c:showSerName val="0"/>
          <c:showPercent val="0"/>
          <c:showBubbleSize val="0"/>
        </c:dLbls>
        <c:marker val="1"/>
        <c:smooth val="0"/>
        <c:axId val="460707648"/>
        <c:axId val="460702160"/>
      </c:lineChart>
      <c:catAx>
        <c:axId val="46070764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460702160"/>
        <c:crossesAt val="0"/>
        <c:auto val="1"/>
        <c:lblAlgn val="ctr"/>
        <c:lblOffset val="100"/>
        <c:tickLblSkip val="1"/>
        <c:tickMarkSkip val="1"/>
        <c:noMultiLvlLbl val="0"/>
      </c:catAx>
      <c:valAx>
        <c:axId val="460702160"/>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460707648"/>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'TESORERÍA TES-IND1'!$C$26</c:f>
              <c:strCache>
                <c:ptCount val="1"/>
                <c:pt idx="0">
                  <c:v>Datos</c:v>
                </c:pt>
              </c:strCache>
            </c:strRef>
          </c:tx>
          <c:spPr>
            <a:solidFill>
              <a:srgbClr val="004586"/>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TES-IND1'!$C$27:$C$38</c:f>
              <c:numCache>
                <c:formatCode>0%</c:formatCode>
                <c:ptCount val="12"/>
                <c:pt idx="0">
                  <c:v>1</c:v>
                </c:pt>
                <c:pt idx="3">
                  <c:v>1.0000000000754932</c:v>
                </c:pt>
                <c:pt idx="6">
                  <c:v>1</c:v>
                </c:pt>
                <c:pt idx="9">
                  <c:v>1</c:v>
                </c:pt>
              </c:numCache>
            </c:numRef>
          </c:val>
          <c:extLst>
            <c:ext xmlns:c16="http://schemas.microsoft.com/office/drawing/2014/chart" uri="{C3380CC4-5D6E-409C-BE32-E72D297353CC}">
              <c16:uniqueId val="{00000000-AC37-4C57-AF81-2B398DE41C96}"/>
            </c:ext>
          </c:extLst>
        </c:ser>
        <c:ser>
          <c:idx val="1"/>
          <c:order val="1"/>
          <c:tx>
            <c:strRef>
              <c:f>'TESORERÍA TES-IND1'!$D$26</c:f>
              <c:strCache>
                <c:ptCount val="1"/>
                <c:pt idx="0">
                  <c:v>Meta Vigencia</c:v>
                </c:pt>
              </c:strCache>
            </c:strRef>
          </c:tx>
          <c:spPr>
            <a:solidFill>
              <a:srgbClr val="FF420E"/>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AC37-4C57-AF81-2B398DE41C9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'TESORERÍA TES-IND1'!$E$26</c:f>
              <c:strCache>
                <c:ptCount val="1"/>
                <c:pt idx="0">
                  <c:v>Meta Objetivo</c:v>
                </c:pt>
              </c:strCache>
            </c:strRef>
          </c:tx>
          <c:spPr>
            <a:ln w="38100">
              <a:solidFill>
                <a:srgbClr val="FFD320"/>
              </a:solidFill>
              <a:prstDash val="solid"/>
            </a:ln>
          </c:spPr>
          <c:marker>
            <c:symbol val="none"/>
          </c:marker>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AC37-4C57-AF81-2B398DE41C9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'CAJA MENOR CAJA-IND1'!$C$26</c:f>
              <c:strCache>
                <c:ptCount val="1"/>
                <c:pt idx="0">
                  <c:v>Datos</c:v>
                </c:pt>
              </c:strCache>
            </c:strRef>
          </c:tx>
          <c:spPr>
            <a:solidFill>
              <a:srgbClr val="004586"/>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CAJA-IND1'!$C$27:$C$38</c:f>
              <c:numCache>
                <c:formatCode>0%</c:formatCode>
                <c:ptCount val="12"/>
                <c:pt idx="0">
                  <c:v>0.11488417475728155</c:v>
                </c:pt>
                <c:pt idx="3">
                  <c:v>4.9040946601941748E-2</c:v>
                </c:pt>
                <c:pt idx="6">
                  <c:v>7.5142378640776705E-2</c:v>
                </c:pt>
                <c:pt idx="9">
                  <c:v>0</c:v>
                </c:pt>
              </c:numCache>
            </c:numRef>
          </c:val>
          <c:extLst>
            <c:ext xmlns:c16="http://schemas.microsoft.com/office/drawing/2014/chart" uri="{C3380CC4-5D6E-409C-BE32-E72D297353CC}">
              <c16:uniqueId val="{00000000-1372-47D6-A291-C320A7B7BCED}"/>
            </c:ext>
          </c:extLst>
        </c:ser>
        <c:ser>
          <c:idx val="1"/>
          <c:order val="1"/>
          <c:tx>
            <c:strRef>
              <c:f>'CAJA MENOR CAJA-IND1'!$D$26</c:f>
              <c:strCache>
                <c:ptCount val="1"/>
                <c:pt idx="0">
                  <c:v>Meta Vigencia</c:v>
                </c:pt>
              </c:strCache>
            </c:strRef>
          </c:tx>
          <c:spPr>
            <a:solidFill>
              <a:srgbClr val="FF420E"/>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1372-47D6-A291-C320A7B7BCE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'CAJA MENOR CAJA-IND1'!$E$26</c:f>
              <c:strCache>
                <c:ptCount val="1"/>
                <c:pt idx="0">
                  <c:v>Meta Objetivo</c:v>
                </c:pt>
              </c:strCache>
            </c:strRef>
          </c:tx>
          <c:spPr>
            <a:ln w="38100">
              <a:solidFill>
                <a:srgbClr val="FFD320"/>
              </a:solidFill>
              <a:prstDash val="solid"/>
            </a:ln>
          </c:spPr>
          <c:marker>
            <c:symbol val="none"/>
          </c:marker>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372-47D6-A291-C320A7B7BCE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CONT-IND1'!$C$26</c:f>
              <c:strCache>
                <c:ptCount val="1"/>
                <c:pt idx="0">
                  <c:v>Datos</c:v>
                </c:pt>
              </c:strCache>
            </c:strRef>
          </c:tx>
          <c:spPr>
            <a:solidFill>
              <a:srgbClr val="004586"/>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CONT-IND1'!$C$27:$C$38</c:f>
              <c:numCache>
                <c:formatCode>0%</c:formatCode>
                <c:ptCount val="12"/>
                <c:pt idx="0">
                  <c:v>1</c:v>
                </c:pt>
                <c:pt idx="3">
                  <c:v>1</c:v>
                </c:pt>
                <c:pt idx="6">
                  <c:v>1</c:v>
                </c:pt>
                <c:pt idx="9">
                  <c:v>0</c:v>
                </c:pt>
              </c:numCache>
            </c:numRef>
          </c:val>
          <c:extLst>
            <c:ext xmlns:c16="http://schemas.microsoft.com/office/drawing/2014/chart" uri="{C3380CC4-5D6E-409C-BE32-E72D297353CC}">
              <c16:uniqueId val="{00000000-279F-4B45-86FB-9AAD116FAC20}"/>
            </c:ext>
          </c:extLst>
        </c:ser>
        <c:ser>
          <c:idx val="1"/>
          <c:order val="1"/>
          <c:tx>
            <c:strRef>
              <c:f>'CONTABILIDAD CONT-IND1'!$D$26</c:f>
              <c:strCache>
                <c:ptCount val="1"/>
                <c:pt idx="0">
                  <c:v>Meta Vigencia</c:v>
                </c:pt>
              </c:strCache>
            </c:strRef>
          </c:tx>
          <c:spPr>
            <a:solidFill>
              <a:srgbClr val="FF420E"/>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79F-4B45-86FB-9AAD116FAC2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CONT-IND1'!$E$26</c:f>
              <c:strCache>
                <c:ptCount val="1"/>
                <c:pt idx="0">
                  <c:v>Meta Objetivo</c:v>
                </c:pt>
              </c:strCache>
            </c:strRef>
          </c:tx>
          <c:spPr>
            <a:ln w="38100">
              <a:solidFill>
                <a:srgbClr val="FFD320"/>
              </a:solidFill>
              <a:prstDash val="solid"/>
            </a:ln>
          </c:spPr>
          <c:marker>
            <c:symbol val="none"/>
          </c:marker>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79F-4B45-86FB-9AAD116FAC2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CONT-IND2'!$C$26</c:f>
              <c:strCache>
                <c:ptCount val="1"/>
                <c:pt idx="0">
                  <c:v>Datos</c:v>
                </c:pt>
              </c:strCache>
            </c:strRef>
          </c:tx>
          <c:spPr>
            <a:solidFill>
              <a:srgbClr val="004586"/>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CONT-IND2'!$C$27:$C$38</c:f>
              <c:numCache>
                <c:formatCode>0%</c:formatCode>
                <c:ptCount val="12"/>
                <c:pt idx="0">
                  <c:v>1</c:v>
                </c:pt>
                <c:pt idx="3">
                  <c:v>1</c:v>
                </c:pt>
                <c:pt idx="6">
                  <c:v>1</c:v>
                </c:pt>
                <c:pt idx="9">
                  <c:v>0</c:v>
                </c:pt>
              </c:numCache>
            </c:numRef>
          </c:val>
          <c:extLst>
            <c:ext xmlns:c16="http://schemas.microsoft.com/office/drawing/2014/chart" uri="{C3380CC4-5D6E-409C-BE32-E72D297353CC}">
              <c16:uniqueId val="{00000000-B26D-4717-839E-9E693EAF6C05}"/>
            </c:ext>
          </c:extLst>
        </c:ser>
        <c:ser>
          <c:idx val="1"/>
          <c:order val="1"/>
          <c:tx>
            <c:strRef>
              <c:f>'CONTABILIDAD CONT-IND2'!$D$26</c:f>
              <c:strCache>
                <c:ptCount val="1"/>
                <c:pt idx="0">
                  <c:v>Meta Vigencia</c:v>
                </c:pt>
              </c:strCache>
            </c:strRef>
          </c:tx>
          <c:spPr>
            <a:solidFill>
              <a:srgbClr val="FF420E"/>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26D-4717-839E-9E693EAF6C0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CONT-IND2'!$E$26</c:f>
              <c:strCache>
                <c:ptCount val="1"/>
                <c:pt idx="0">
                  <c:v>Meta Objetivo</c:v>
                </c:pt>
              </c:strCache>
            </c:strRef>
          </c:tx>
          <c:spPr>
            <a:ln w="38100">
              <a:solidFill>
                <a:srgbClr val="FFD320"/>
              </a:solidFill>
              <a:prstDash val="solid"/>
            </a:ln>
          </c:spPr>
          <c:marker>
            <c:symbol val="none"/>
          </c:marker>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26D-4717-839E-9E693EAF6C0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PRE-IND1'!$C$26</c:f>
              <c:strCache>
                <c:ptCount val="1"/>
                <c:pt idx="0">
                  <c:v>Datos</c:v>
                </c:pt>
              </c:strCache>
            </c:strRef>
          </c:tx>
          <c:spPr>
            <a:solidFill>
              <a:srgbClr val="004586"/>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PRE-IND1'!$C$27:$C$38</c:f>
              <c:numCache>
                <c:formatCode>0%</c:formatCode>
                <c:ptCount val="12"/>
                <c:pt idx="0">
                  <c:v>0.10760941279964811</c:v>
                </c:pt>
                <c:pt idx="3">
                  <c:v>0.17474598636463601</c:v>
                </c:pt>
                <c:pt idx="6">
                  <c:v>0.38728832197053004</c:v>
                </c:pt>
                <c:pt idx="9">
                  <c:v>0.75317791950736745</c:v>
                </c:pt>
              </c:numCache>
            </c:numRef>
          </c:val>
          <c:extLst>
            <c:ext xmlns:c16="http://schemas.microsoft.com/office/drawing/2014/chart" uri="{C3380CC4-5D6E-409C-BE32-E72D297353CC}">
              <c16:uniqueId val="{00000000-305D-4DA4-AD77-F90957A6DF9B}"/>
            </c:ext>
          </c:extLst>
        </c:ser>
        <c:ser>
          <c:idx val="1"/>
          <c:order val="1"/>
          <c:tx>
            <c:strRef>
              <c:f>'PRESUPUESTO PRE-IND1'!$D$26</c:f>
              <c:strCache>
                <c:ptCount val="1"/>
                <c:pt idx="0">
                  <c:v>Meta Vigencia</c:v>
                </c:pt>
              </c:strCache>
            </c:strRef>
          </c:tx>
          <c:spPr>
            <a:solidFill>
              <a:srgbClr val="FF420E"/>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305D-4DA4-AD77-F90957A6DF9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PRE-IND1'!$E$26</c:f>
              <c:strCache>
                <c:ptCount val="1"/>
                <c:pt idx="0">
                  <c:v>Meta Objetivo</c:v>
                </c:pt>
              </c:strCache>
            </c:strRef>
          </c:tx>
          <c:spPr>
            <a:ln w="38100">
              <a:solidFill>
                <a:srgbClr val="FFD320"/>
              </a:solidFill>
              <a:prstDash val="solid"/>
            </a:ln>
          </c:spPr>
          <c:marker>
            <c:symbol val="none"/>
          </c:marker>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05D-4DA4-AD77-F90957A6DF9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PRE-IND2'!$C$26</c:f>
              <c:strCache>
                <c:ptCount val="1"/>
                <c:pt idx="0">
                  <c:v>Datos</c:v>
                </c:pt>
              </c:strCache>
            </c:strRef>
          </c:tx>
          <c:spPr>
            <a:solidFill>
              <a:srgbClr val="004586"/>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PRE-IND2'!$C$27:$C$38</c:f>
              <c:numCache>
                <c:formatCode>0%</c:formatCode>
                <c:ptCount val="12"/>
                <c:pt idx="0">
                  <c:v>0.14215966571365735</c:v>
                </c:pt>
                <c:pt idx="3">
                  <c:v>0.38060259511765998</c:v>
                </c:pt>
                <c:pt idx="6">
                  <c:v>0.81315152848031669</c:v>
                </c:pt>
                <c:pt idx="9">
                  <c:v>1.0270508027270728</c:v>
                </c:pt>
              </c:numCache>
            </c:numRef>
          </c:val>
          <c:extLst>
            <c:ext xmlns:c16="http://schemas.microsoft.com/office/drawing/2014/chart" uri="{C3380CC4-5D6E-409C-BE32-E72D297353CC}">
              <c16:uniqueId val="{00000000-BDB6-4AFF-920F-5295A15A80C1}"/>
            </c:ext>
          </c:extLst>
        </c:ser>
        <c:ser>
          <c:idx val="1"/>
          <c:order val="1"/>
          <c:tx>
            <c:strRef>
              <c:f>'PRESUPUESTO PRE-IND2'!$D$26</c:f>
              <c:strCache>
                <c:ptCount val="1"/>
                <c:pt idx="0">
                  <c:v>Meta Vigencia</c:v>
                </c:pt>
              </c:strCache>
            </c:strRef>
          </c:tx>
          <c:spPr>
            <a:solidFill>
              <a:srgbClr val="FF420E"/>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BDB6-4AFF-920F-5295A15A80C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PRE-IND2'!$E$26</c:f>
              <c:strCache>
                <c:ptCount val="1"/>
                <c:pt idx="0">
                  <c:v>Meta Objetivo</c:v>
                </c:pt>
              </c:strCache>
            </c:strRef>
          </c:tx>
          <c:spPr>
            <a:ln w="38100">
              <a:solidFill>
                <a:srgbClr val="FFD320"/>
              </a:solidFill>
              <a:prstDash val="solid"/>
            </a:ln>
          </c:spPr>
          <c:marker>
            <c:symbol val="none"/>
          </c:marker>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DB6-4AFF-920F-5295A15A80C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GPRO-IND1'!$C$26</c:f>
              <c:strCache>
                <c:ptCount val="1"/>
                <c:pt idx="0">
                  <c:v>Datos</c:v>
                </c:pt>
              </c:strCache>
            </c:strRef>
          </c:tx>
          <c:spPr>
            <a:solidFill>
              <a:srgbClr val="004586"/>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GPRO-IND1'!$C$27:$C$38</c:f>
              <c:numCache>
                <c:formatCode>0%</c:formatCode>
                <c:ptCount val="12"/>
                <c:pt idx="0">
                  <c:v>1.3414798765057192</c:v>
                </c:pt>
                <c:pt idx="3">
                  <c:v>0.66593271603684523</c:v>
                </c:pt>
                <c:pt idx="6">
                  <c:v>0.63096866985629474</c:v>
                </c:pt>
                <c:pt idx="9">
                  <c:v>20.622483438685208</c:v>
                </c:pt>
              </c:numCache>
            </c:numRef>
          </c:val>
          <c:extLst>
            <c:ext xmlns:c16="http://schemas.microsoft.com/office/drawing/2014/chart" uri="{C3380CC4-5D6E-409C-BE32-E72D297353CC}">
              <c16:uniqueId val="{00000000-70FB-4BEE-BA72-5F13A7A1F1D4}"/>
            </c:ext>
          </c:extLst>
        </c:ser>
        <c:ser>
          <c:idx val="1"/>
          <c:order val="1"/>
          <c:tx>
            <c:strRef>
              <c:f>'PROYECTOS GPRO-IND1'!$D$26</c:f>
              <c:strCache>
                <c:ptCount val="1"/>
                <c:pt idx="0">
                  <c:v>Meta Vigencia</c:v>
                </c:pt>
              </c:strCache>
            </c:strRef>
          </c:tx>
          <c:spPr>
            <a:solidFill>
              <a:srgbClr val="FF420E"/>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0FB-4BEE-BA72-5F13A7A1F1D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GPRO-IND1'!$E$26</c:f>
              <c:strCache>
                <c:ptCount val="1"/>
                <c:pt idx="0">
                  <c:v>Meta Objetivo</c:v>
                </c:pt>
              </c:strCache>
            </c:strRef>
          </c:tx>
          <c:spPr>
            <a:ln w="38100">
              <a:solidFill>
                <a:srgbClr val="FFD320"/>
              </a:solidFill>
              <a:prstDash val="solid"/>
            </a:ln>
          </c:spPr>
          <c:marker>
            <c:symbol val="none"/>
          </c:marker>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0FB-4BEE-BA72-5F13A7A1F1D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GPRO-IND2'!$C$26</c:f>
              <c:strCache>
                <c:ptCount val="1"/>
                <c:pt idx="0">
                  <c:v>Datos</c:v>
                </c:pt>
              </c:strCache>
            </c:strRef>
          </c:tx>
          <c:spPr>
            <a:solidFill>
              <a:srgbClr val="004586"/>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GPRO-IND2'!$C$27:$C$38</c:f>
              <c:numCache>
                <c:formatCode>0%</c:formatCode>
                <c:ptCount val="12"/>
                <c:pt idx="0">
                  <c:v>1</c:v>
                </c:pt>
                <c:pt idx="3">
                  <c:v>0</c:v>
                </c:pt>
                <c:pt idx="6">
                  <c:v>0</c:v>
                </c:pt>
                <c:pt idx="9">
                  <c:v>1.5</c:v>
                </c:pt>
              </c:numCache>
            </c:numRef>
          </c:val>
          <c:extLst>
            <c:ext xmlns:c16="http://schemas.microsoft.com/office/drawing/2014/chart" uri="{C3380CC4-5D6E-409C-BE32-E72D297353CC}">
              <c16:uniqueId val="{00000000-2DF3-4E45-BFDE-0A637C9AEA27}"/>
            </c:ext>
          </c:extLst>
        </c:ser>
        <c:ser>
          <c:idx val="1"/>
          <c:order val="1"/>
          <c:tx>
            <c:strRef>
              <c:f>'PROYECTOS GPRO-IND2'!$D$26</c:f>
              <c:strCache>
                <c:ptCount val="1"/>
                <c:pt idx="0">
                  <c:v>Meta Vigencia</c:v>
                </c:pt>
              </c:strCache>
            </c:strRef>
          </c:tx>
          <c:spPr>
            <a:solidFill>
              <a:srgbClr val="FF420E"/>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DF3-4E45-BFDE-0A637C9AEA2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GPRO-IND2'!$E$26</c:f>
              <c:strCache>
                <c:ptCount val="1"/>
                <c:pt idx="0">
                  <c:v>Meta Objetivo</c:v>
                </c:pt>
              </c:strCache>
            </c:strRef>
          </c:tx>
          <c:spPr>
            <a:ln w="38100">
              <a:solidFill>
                <a:srgbClr val="FFD320"/>
              </a:solidFill>
              <a:prstDash val="solid"/>
            </a:ln>
          </c:spPr>
          <c:marker>
            <c:symbol val="none"/>
          </c:marker>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DF3-4E45-BFDE-0A637C9AEA2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GPRO-IND3'!$C$26</c:f>
              <c:strCache>
                <c:ptCount val="1"/>
                <c:pt idx="0">
                  <c:v>Datos</c:v>
                </c:pt>
              </c:strCache>
            </c:strRef>
          </c:tx>
          <c:spPr>
            <a:solidFill>
              <a:srgbClr val="004586"/>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GPRO-IND3'!$C$27:$C$38</c:f>
              <c:numCache>
                <c:formatCode>0%</c:formatCode>
                <c:ptCount val="12"/>
                <c:pt idx="0">
                  <c:v>0.16</c:v>
                </c:pt>
                <c:pt idx="3">
                  <c:v>0</c:v>
                </c:pt>
                <c:pt idx="6">
                  <c:v>0.48</c:v>
                </c:pt>
                <c:pt idx="9">
                  <c:v>0</c:v>
                </c:pt>
              </c:numCache>
            </c:numRef>
          </c:val>
          <c:extLst>
            <c:ext xmlns:c16="http://schemas.microsoft.com/office/drawing/2014/chart" uri="{C3380CC4-5D6E-409C-BE32-E72D297353CC}">
              <c16:uniqueId val="{00000000-36C0-4C1A-99A0-A6BB9CAA9DEF}"/>
            </c:ext>
          </c:extLst>
        </c:ser>
        <c:ser>
          <c:idx val="1"/>
          <c:order val="1"/>
          <c:tx>
            <c:strRef>
              <c:f>'PROYECTOS GPRO-IND3'!$D$26</c:f>
              <c:strCache>
                <c:ptCount val="1"/>
                <c:pt idx="0">
                  <c:v>Meta Vigencia</c:v>
                </c:pt>
              </c:strCache>
            </c:strRef>
          </c:tx>
          <c:spPr>
            <a:solidFill>
              <a:srgbClr val="FF420E"/>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GPRO-IND3'!$D$27:$D$38</c:f>
              <c:numCache>
                <c:formatCode>0%</c:formatCode>
                <c:ptCount val="12"/>
                <c:pt idx="0">
                  <c:v>0.5</c:v>
                </c:pt>
                <c:pt idx="3">
                  <c:v>0.5</c:v>
                </c:pt>
                <c:pt idx="6">
                  <c:v>0.5</c:v>
                </c:pt>
                <c:pt idx="9">
                  <c:v>0.5</c:v>
                </c:pt>
              </c:numCache>
            </c:numRef>
          </c:val>
          <c:extLst>
            <c:ext xmlns:c16="http://schemas.microsoft.com/office/drawing/2014/chart" uri="{C3380CC4-5D6E-409C-BE32-E72D297353CC}">
              <c16:uniqueId val="{00000001-36C0-4C1A-99A0-A6BB9CAA9DE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GPRO-IND3'!$E$26</c:f>
              <c:strCache>
                <c:ptCount val="1"/>
                <c:pt idx="0">
                  <c:v>Meta Objetivo</c:v>
                </c:pt>
              </c:strCache>
            </c:strRef>
          </c:tx>
          <c:spPr>
            <a:ln w="38100">
              <a:solidFill>
                <a:srgbClr val="FFD320"/>
              </a:solidFill>
              <a:prstDash val="solid"/>
            </a:ln>
          </c:spPr>
          <c:marker>
            <c:symbol val="none"/>
          </c:marker>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GPRO-IND3'!$E$27:$E$38</c:f>
              <c:numCache>
                <c:formatCode>0%</c:formatCode>
                <c:ptCount val="12"/>
                <c:pt idx="0">
                  <c:v>0.5</c:v>
                </c:pt>
                <c:pt idx="1">
                  <c:v>0.5</c:v>
                </c:pt>
                <c:pt idx="2">
                  <c:v>0.5</c:v>
                </c:pt>
                <c:pt idx="3">
                  <c:v>0.5</c:v>
                </c:pt>
                <c:pt idx="4">
                  <c:v>0.5</c:v>
                </c:pt>
                <c:pt idx="5">
                  <c:v>0.5</c:v>
                </c:pt>
                <c:pt idx="6">
                  <c:v>0.5</c:v>
                </c:pt>
                <c:pt idx="7">
                  <c:v>0.5</c:v>
                </c:pt>
                <c:pt idx="8">
                  <c:v>0.5</c:v>
                </c:pt>
                <c:pt idx="9">
                  <c:v>0.5</c:v>
                </c:pt>
                <c:pt idx="10">
                  <c:v>0.5</c:v>
                </c:pt>
                <c:pt idx="11">
                  <c:v>0</c:v>
                </c:pt>
              </c:numCache>
            </c:numRef>
          </c:val>
          <c:smooth val="0"/>
          <c:extLst>
            <c:ext xmlns:c16="http://schemas.microsoft.com/office/drawing/2014/chart" uri="{C3380CC4-5D6E-409C-BE32-E72D297353CC}">
              <c16:uniqueId val="{00000002-36C0-4C1A-99A0-A6BB9CAA9DE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GPRO-IND4'!$C$26</c:f>
              <c:strCache>
                <c:ptCount val="1"/>
                <c:pt idx="0">
                  <c:v>Datos</c:v>
                </c:pt>
              </c:strCache>
            </c:strRef>
          </c:tx>
          <c:spPr>
            <a:solidFill>
              <a:srgbClr val="004586"/>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GPRO-IND4'!$C$27:$C$38</c:f>
              <c:numCache>
                <c:formatCode>0%</c:formatCode>
                <c:ptCount val="12"/>
                <c:pt idx="0">
                  <c:v>0.98383160463697372</c:v>
                </c:pt>
                <c:pt idx="3">
                  <c:v>0.50257129499766251</c:v>
                </c:pt>
                <c:pt idx="6">
                  <c:v>5.4543886264580973E-3</c:v>
                </c:pt>
                <c:pt idx="9">
                  <c:v>0.7480822716006108</c:v>
                </c:pt>
              </c:numCache>
            </c:numRef>
          </c:val>
          <c:extLst>
            <c:ext xmlns:c16="http://schemas.microsoft.com/office/drawing/2014/chart" uri="{C3380CC4-5D6E-409C-BE32-E72D297353CC}">
              <c16:uniqueId val="{00000000-673C-42C9-B8F4-9A8D507F287C}"/>
            </c:ext>
          </c:extLst>
        </c:ser>
        <c:ser>
          <c:idx val="1"/>
          <c:order val="1"/>
          <c:tx>
            <c:strRef>
              <c:f>'PROYECTOS GPRO-IND4'!$D$26</c:f>
              <c:strCache>
                <c:ptCount val="1"/>
                <c:pt idx="0">
                  <c:v>Meta Vigencia</c:v>
                </c:pt>
              </c:strCache>
            </c:strRef>
          </c:tx>
          <c:spPr>
            <a:solidFill>
              <a:srgbClr val="FF420E"/>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3C-42C9-B8F4-9A8D507F287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GPRO-IND4'!$E$26</c:f>
              <c:strCache>
                <c:ptCount val="1"/>
                <c:pt idx="0">
                  <c:v>Meta Objetivo</c:v>
                </c:pt>
              </c:strCache>
            </c:strRef>
          </c:tx>
          <c:spPr>
            <a:ln w="38100">
              <a:solidFill>
                <a:srgbClr val="FFD320"/>
              </a:solidFill>
              <a:prstDash val="solid"/>
            </a:ln>
          </c:spPr>
          <c:marker>
            <c:symbol val="none"/>
          </c:marker>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3C-42C9-B8F4-9A8D507F287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GPRO-IND5'!$C$26</c:f>
              <c:strCache>
                <c:ptCount val="1"/>
                <c:pt idx="0">
                  <c:v>Datos</c:v>
                </c:pt>
              </c:strCache>
            </c:strRef>
          </c:tx>
          <c:spPr>
            <a:solidFill>
              <a:srgbClr val="004586"/>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GPRO-IND5'!$C$27:$C$38</c:f>
              <c:numCache>
                <c:formatCode>0%</c:formatCode>
                <c:ptCount val="12"/>
                <c:pt idx="0">
                  <c:v>1</c:v>
                </c:pt>
                <c:pt idx="3">
                  <c:v>1</c:v>
                </c:pt>
                <c:pt idx="6">
                  <c:v>0</c:v>
                </c:pt>
                <c:pt idx="9">
                  <c:v>0.5</c:v>
                </c:pt>
              </c:numCache>
            </c:numRef>
          </c:val>
          <c:extLst>
            <c:ext xmlns:c16="http://schemas.microsoft.com/office/drawing/2014/chart" uri="{C3380CC4-5D6E-409C-BE32-E72D297353CC}">
              <c16:uniqueId val="{00000000-C0DD-4F5D-883E-3760388995DD}"/>
            </c:ext>
          </c:extLst>
        </c:ser>
        <c:ser>
          <c:idx val="1"/>
          <c:order val="1"/>
          <c:tx>
            <c:strRef>
              <c:f>'PROYECTOS GPRO-IND5'!$D$26</c:f>
              <c:strCache>
                <c:ptCount val="1"/>
                <c:pt idx="0">
                  <c:v>Meta Vigencia</c:v>
                </c:pt>
              </c:strCache>
            </c:strRef>
          </c:tx>
          <c:spPr>
            <a:solidFill>
              <a:srgbClr val="FF420E"/>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0DD-4F5D-883E-3760388995D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GPRO-IND5'!$E$26</c:f>
              <c:strCache>
                <c:ptCount val="1"/>
                <c:pt idx="0">
                  <c:v>Meta Objetivo</c:v>
                </c:pt>
              </c:strCache>
            </c:strRef>
          </c:tx>
          <c:spPr>
            <a:ln w="38100">
              <a:solidFill>
                <a:srgbClr val="FFD320"/>
              </a:solidFill>
              <a:prstDash val="solid"/>
            </a:ln>
          </c:spPr>
          <c:marker>
            <c:symbol val="none"/>
          </c:marker>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0DD-4F5D-883E-3760388995D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GPRO-IND6'!$C$26</c:f>
              <c:strCache>
                <c:ptCount val="1"/>
                <c:pt idx="0">
                  <c:v>Datos</c:v>
                </c:pt>
              </c:strCache>
            </c:strRef>
          </c:tx>
          <c:spPr>
            <a:solidFill>
              <a:srgbClr val="004586"/>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22D-43DA-A008-A2330F633304}"/>
            </c:ext>
          </c:extLst>
        </c:ser>
        <c:ser>
          <c:idx val="1"/>
          <c:order val="1"/>
          <c:tx>
            <c:strRef>
              <c:f>'PROYECTOS GPRO-IND6'!$D$26</c:f>
              <c:strCache>
                <c:ptCount val="1"/>
                <c:pt idx="0">
                  <c:v>Meta Vigencia</c:v>
                </c:pt>
              </c:strCache>
            </c:strRef>
          </c:tx>
          <c:spPr>
            <a:solidFill>
              <a:srgbClr val="FF420E"/>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GPRO-IND6'!$D$27:$D$38</c:f>
              <c:numCache>
                <c:formatCode>0%</c:formatCode>
                <c:ptCount val="12"/>
                <c:pt idx="0">
                  <c:v>0.4</c:v>
                </c:pt>
                <c:pt idx="3">
                  <c:v>0.4</c:v>
                </c:pt>
                <c:pt idx="6">
                  <c:v>0.4</c:v>
                </c:pt>
                <c:pt idx="9">
                  <c:v>0.4</c:v>
                </c:pt>
              </c:numCache>
            </c:numRef>
          </c:val>
          <c:extLst>
            <c:ext xmlns:c16="http://schemas.microsoft.com/office/drawing/2014/chart" uri="{C3380CC4-5D6E-409C-BE32-E72D297353CC}">
              <c16:uniqueId val="{00000001-622D-43DA-A008-A2330F63330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GPRO-IND6'!$E$26</c:f>
              <c:strCache>
                <c:ptCount val="1"/>
                <c:pt idx="0">
                  <c:v>Meta Objetivo</c:v>
                </c:pt>
              </c:strCache>
            </c:strRef>
          </c:tx>
          <c:spPr>
            <a:ln w="38100">
              <a:solidFill>
                <a:srgbClr val="FFD320"/>
              </a:solidFill>
              <a:prstDash val="solid"/>
            </a:ln>
          </c:spPr>
          <c:marker>
            <c:symbol val="none"/>
          </c:marker>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GPRO-IND6'!$E$27:$E$38</c:f>
              <c:numCache>
                <c:formatCode>0%</c:formatCode>
                <c:ptCount val="12"/>
                <c:pt idx="0">
                  <c:v>0.4</c:v>
                </c:pt>
                <c:pt idx="1">
                  <c:v>0.4</c:v>
                </c:pt>
                <c:pt idx="2">
                  <c:v>0.4</c:v>
                </c:pt>
                <c:pt idx="3">
                  <c:v>0.4</c:v>
                </c:pt>
                <c:pt idx="4">
                  <c:v>0.4</c:v>
                </c:pt>
                <c:pt idx="5">
                  <c:v>0.4</c:v>
                </c:pt>
                <c:pt idx="6">
                  <c:v>0.4</c:v>
                </c:pt>
                <c:pt idx="7">
                  <c:v>0.4</c:v>
                </c:pt>
                <c:pt idx="8">
                  <c:v>0.4</c:v>
                </c:pt>
                <c:pt idx="9">
                  <c:v>0.4</c:v>
                </c:pt>
                <c:pt idx="10">
                  <c:v>0.4</c:v>
                </c:pt>
                <c:pt idx="11">
                  <c:v>0</c:v>
                </c:pt>
              </c:numCache>
            </c:numRef>
          </c:val>
          <c:smooth val="0"/>
          <c:extLst>
            <c:ext xmlns:c16="http://schemas.microsoft.com/office/drawing/2014/chart" uri="{C3380CC4-5D6E-409C-BE32-E72D297353CC}">
              <c16:uniqueId val="{00000002-622D-43DA-A008-A2330F63330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TH-IND1'!$C$26</c:f>
              <c:strCache>
                <c:ptCount val="1"/>
                <c:pt idx="0">
                  <c:v>Datos</c:v>
                </c:pt>
              </c:strCache>
            </c:strRef>
          </c:tx>
          <c:spPr>
            <a:solidFill>
              <a:srgbClr val="004586"/>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TH-IND1'!$C$27:$C$38</c:f>
              <c:numCache>
                <c:formatCode>0%</c:formatCode>
                <c:ptCount val="12"/>
                <c:pt idx="0">
                  <c:v>1</c:v>
                </c:pt>
                <c:pt idx="3">
                  <c:v>0.33333333333333331</c:v>
                </c:pt>
                <c:pt idx="6">
                  <c:v>0</c:v>
                </c:pt>
                <c:pt idx="9">
                  <c:v>1</c:v>
                </c:pt>
              </c:numCache>
            </c:numRef>
          </c:val>
          <c:extLst>
            <c:ext xmlns:c16="http://schemas.microsoft.com/office/drawing/2014/chart" uri="{C3380CC4-5D6E-409C-BE32-E72D297353CC}">
              <c16:uniqueId val="{00000000-7CCF-40E1-AB81-9A95BB82F644}"/>
            </c:ext>
          </c:extLst>
        </c:ser>
        <c:ser>
          <c:idx val="1"/>
          <c:order val="1"/>
          <c:tx>
            <c:strRef>
              <c:f>'T. HUMANO TH-IND1'!$D$26</c:f>
              <c:strCache>
                <c:ptCount val="1"/>
                <c:pt idx="0">
                  <c:v>Meta Vigencia</c:v>
                </c:pt>
              </c:strCache>
            </c:strRef>
          </c:tx>
          <c:spPr>
            <a:solidFill>
              <a:srgbClr val="FF420E"/>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CCF-40E1-AB81-9A95BB82F64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TH-IND1'!$E$26</c:f>
              <c:strCache>
                <c:ptCount val="1"/>
                <c:pt idx="0">
                  <c:v>Meta Objetivo</c:v>
                </c:pt>
              </c:strCache>
            </c:strRef>
          </c:tx>
          <c:spPr>
            <a:ln w="38100">
              <a:solidFill>
                <a:srgbClr val="FFD320"/>
              </a:solidFill>
              <a:prstDash val="solid"/>
            </a:ln>
          </c:spPr>
          <c:marker>
            <c:symbol val="none"/>
          </c:marker>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CCF-40E1-AB81-9A95BB82F64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TH-IND2'!$C$26</c:f>
              <c:strCache>
                <c:ptCount val="1"/>
                <c:pt idx="0">
                  <c:v>Datos</c:v>
                </c:pt>
              </c:strCache>
            </c:strRef>
          </c:tx>
          <c:spPr>
            <a:solidFill>
              <a:srgbClr val="004586"/>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TH-IND2'!$C$27:$C$38</c:f>
              <c:numCache>
                <c:formatCode>0%</c:formatCode>
                <c:ptCount val="12"/>
                <c:pt idx="0">
                  <c:v>1</c:v>
                </c:pt>
                <c:pt idx="3">
                  <c:v>1</c:v>
                </c:pt>
                <c:pt idx="6">
                  <c:v>1</c:v>
                </c:pt>
                <c:pt idx="9">
                  <c:v>0.66666666666666663</c:v>
                </c:pt>
              </c:numCache>
            </c:numRef>
          </c:val>
          <c:extLst>
            <c:ext xmlns:c16="http://schemas.microsoft.com/office/drawing/2014/chart" uri="{C3380CC4-5D6E-409C-BE32-E72D297353CC}">
              <c16:uniqueId val="{00000000-73D2-43CD-BE4D-0F8820836C25}"/>
            </c:ext>
          </c:extLst>
        </c:ser>
        <c:ser>
          <c:idx val="1"/>
          <c:order val="1"/>
          <c:tx>
            <c:strRef>
              <c:f>'T. HUMANO TH-IND2'!$D$26</c:f>
              <c:strCache>
                <c:ptCount val="1"/>
                <c:pt idx="0">
                  <c:v>Meta Vigencia</c:v>
                </c:pt>
              </c:strCache>
            </c:strRef>
          </c:tx>
          <c:spPr>
            <a:solidFill>
              <a:srgbClr val="FF420E"/>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3D2-43CD-BE4D-0F8820836C2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TH-IND2'!$E$26</c:f>
              <c:strCache>
                <c:ptCount val="1"/>
                <c:pt idx="0">
                  <c:v>Meta Objetivo</c:v>
                </c:pt>
              </c:strCache>
            </c:strRef>
          </c:tx>
          <c:spPr>
            <a:ln w="38100">
              <a:solidFill>
                <a:srgbClr val="FFD320"/>
              </a:solidFill>
              <a:prstDash val="solid"/>
            </a:ln>
          </c:spPr>
          <c:marker>
            <c:symbol val="none"/>
          </c:marker>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3D2-43CD-BE4D-0F8820836C2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TH-IND3'!$C$26</c:f>
              <c:strCache>
                <c:ptCount val="1"/>
                <c:pt idx="0">
                  <c:v>Datos</c:v>
                </c:pt>
              </c:strCache>
            </c:strRef>
          </c:tx>
          <c:spPr>
            <a:solidFill>
              <a:srgbClr val="004586"/>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TH-IND3'!$C$27:$C$38</c:f>
              <c:numCache>
                <c:formatCode>0%</c:formatCode>
                <c:ptCount val="12"/>
                <c:pt idx="0">
                  <c:v>0.88</c:v>
                </c:pt>
                <c:pt idx="3">
                  <c:v>0.91489361702127658</c:v>
                </c:pt>
                <c:pt idx="6">
                  <c:v>0.90909090909090906</c:v>
                </c:pt>
                <c:pt idx="9">
                  <c:v>0</c:v>
                </c:pt>
              </c:numCache>
            </c:numRef>
          </c:val>
          <c:extLst>
            <c:ext xmlns:c16="http://schemas.microsoft.com/office/drawing/2014/chart" uri="{C3380CC4-5D6E-409C-BE32-E72D297353CC}">
              <c16:uniqueId val="{00000000-2972-4F0D-ADA3-F50D038D98AF}"/>
            </c:ext>
          </c:extLst>
        </c:ser>
        <c:ser>
          <c:idx val="1"/>
          <c:order val="1"/>
          <c:tx>
            <c:strRef>
              <c:f>'T. HUMANO TH-IND3'!$D$26</c:f>
              <c:strCache>
                <c:ptCount val="1"/>
                <c:pt idx="0">
                  <c:v>Meta Vigencia</c:v>
                </c:pt>
              </c:strCache>
            </c:strRef>
          </c:tx>
          <c:spPr>
            <a:solidFill>
              <a:srgbClr val="FF420E"/>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TH-IND3'!$D$27:$D$38</c:f>
              <c:numCache>
                <c:formatCode>0%</c:formatCode>
                <c:ptCount val="12"/>
                <c:pt idx="0">
                  <c:v>0.7</c:v>
                </c:pt>
                <c:pt idx="3">
                  <c:v>0.7</c:v>
                </c:pt>
                <c:pt idx="6">
                  <c:v>0.7</c:v>
                </c:pt>
                <c:pt idx="9">
                  <c:v>0.7</c:v>
                </c:pt>
              </c:numCache>
            </c:numRef>
          </c:val>
          <c:extLst>
            <c:ext xmlns:c16="http://schemas.microsoft.com/office/drawing/2014/chart" uri="{C3380CC4-5D6E-409C-BE32-E72D297353CC}">
              <c16:uniqueId val="{00000001-2972-4F0D-ADA3-F50D038D98A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TH-IND3'!$E$26</c:f>
              <c:strCache>
                <c:ptCount val="1"/>
                <c:pt idx="0">
                  <c:v>Meta Objetivo</c:v>
                </c:pt>
              </c:strCache>
            </c:strRef>
          </c:tx>
          <c:spPr>
            <a:ln w="38100">
              <a:solidFill>
                <a:srgbClr val="FFD320"/>
              </a:solidFill>
              <a:prstDash val="solid"/>
            </a:ln>
          </c:spPr>
          <c:marker>
            <c:symbol val="none"/>
          </c:marker>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972-4F0D-ADA3-F50D038D98A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ATU-IND1'!$C$26</c:f>
              <c:strCache>
                <c:ptCount val="1"/>
                <c:pt idx="0">
                  <c:v>Datos</c:v>
                </c:pt>
              </c:strCache>
            </c:strRef>
          </c:tx>
          <c:spPr>
            <a:solidFill>
              <a:srgbClr val="004586"/>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ATU-IND1'!$C$27:$C$38</c:f>
              <c:numCache>
                <c:formatCode>0%</c:formatCode>
                <c:ptCount val="12"/>
                <c:pt idx="0">
                  <c:v>0.92156862745098034</c:v>
                </c:pt>
                <c:pt idx="6">
                  <c:v>0.91961414790996787</c:v>
                </c:pt>
                <c:pt idx="9">
                  <c:v>0</c:v>
                </c:pt>
              </c:numCache>
            </c:numRef>
          </c:val>
          <c:extLst>
            <c:ext xmlns:c16="http://schemas.microsoft.com/office/drawing/2014/chart" uri="{C3380CC4-5D6E-409C-BE32-E72D297353CC}">
              <c16:uniqueId val="{00000000-6B98-447D-AE64-68036EC28DFF}"/>
            </c:ext>
          </c:extLst>
        </c:ser>
        <c:ser>
          <c:idx val="1"/>
          <c:order val="1"/>
          <c:tx>
            <c:strRef>
              <c:f>'AT. USUARIO ATU-IND1'!$D$26</c:f>
              <c:strCache>
                <c:ptCount val="1"/>
                <c:pt idx="0">
                  <c:v>Meta Vigencia</c:v>
                </c:pt>
              </c:strCache>
            </c:strRef>
          </c:tx>
          <c:spPr>
            <a:solidFill>
              <a:srgbClr val="FF420E"/>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ATU-IND1'!$D$27:$D$38</c:f>
              <c:numCache>
                <c:formatCode>0%</c:formatCode>
                <c:ptCount val="12"/>
                <c:pt idx="0">
                  <c:v>0.8</c:v>
                </c:pt>
                <c:pt idx="6">
                  <c:v>0.8</c:v>
                </c:pt>
              </c:numCache>
            </c:numRef>
          </c:val>
          <c:extLst>
            <c:ext xmlns:c16="http://schemas.microsoft.com/office/drawing/2014/chart" uri="{C3380CC4-5D6E-409C-BE32-E72D297353CC}">
              <c16:uniqueId val="{00000001-6B98-447D-AE64-68036EC28DF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ATU-IND1'!$E$26</c:f>
              <c:strCache>
                <c:ptCount val="1"/>
                <c:pt idx="0">
                  <c:v>Meta Objetivo</c:v>
                </c:pt>
              </c:strCache>
            </c:strRef>
          </c:tx>
          <c:spPr>
            <a:ln w="38100">
              <a:solidFill>
                <a:srgbClr val="FFD320"/>
              </a:solidFill>
              <a:prstDash val="solid"/>
            </a:ln>
          </c:spPr>
          <c:marker>
            <c:symbol val="none"/>
          </c:marker>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B98-447D-AE64-68036EC28DF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ATU-IND2'!$C$26</c:f>
              <c:strCache>
                <c:ptCount val="1"/>
                <c:pt idx="0">
                  <c:v>Datos</c:v>
                </c:pt>
              </c:strCache>
            </c:strRef>
          </c:tx>
          <c:spPr>
            <a:solidFill>
              <a:srgbClr val="004586"/>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ATU-IND2'!$C$27:$C$38</c:f>
              <c:numCache>
                <c:formatCode>0%</c:formatCode>
                <c:ptCount val="12"/>
                <c:pt idx="0">
                  <c:v>1</c:v>
                </c:pt>
                <c:pt idx="6">
                  <c:v>1</c:v>
                </c:pt>
                <c:pt idx="9">
                  <c:v>0</c:v>
                </c:pt>
              </c:numCache>
            </c:numRef>
          </c:val>
          <c:extLst>
            <c:ext xmlns:c16="http://schemas.microsoft.com/office/drawing/2014/chart" uri="{C3380CC4-5D6E-409C-BE32-E72D297353CC}">
              <c16:uniqueId val="{00000000-1511-4B68-9285-AE6B1BA85F45}"/>
            </c:ext>
          </c:extLst>
        </c:ser>
        <c:ser>
          <c:idx val="1"/>
          <c:order val="1"/>
          <c:tx>
            <c:strRef>
              <c:f>'AT. USUARIO ATU-IND2'!$D$26</c:f>
              <c:strCache>
                <c:ptCount val="1"/>
                <c:pt idx="0">
                  <c:v>Meta Vigencia</c:v>
                </c:pt>
              </c:strCache>
            </c:strRef>
          </c:tx>
          <c:spPr>
            <a:solidFill>
              <a:srgbClr val="FF420E"/>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ATU-IND2'!$D$27:$D$38</c:f>
              <c:numCache>
                <c:formatCode>0%</c:formatCode>
                <c:ptCount val="12"/>
                <c:pt idx="0">
                  <c:v>1</c:v>
                </c:pt>
                <c:pt idx="6">
                  <c:v>1</c:v>
                </c:pt>
              </c:numCache>
            </c:numRef>
          </c:val>
          <c:extLst>
            <c:ext xmlns:c16="http://schemas.microsoft.com/office/drawing/2014/chart" uri="{C3380CC4-5D6E-409C-BE32-E72D297353CC}">
              <c16:uniqueId val="{00000001-1511-4B68-9285-AE6B1BA85F4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ATU-IND2'!$E$26</c:f>
              <c:strCache>
                <c:ptCount val="1"/>
                <c:pt idx="0">
                  <c:v>Meta Objetivo</c:v>
                </c:pt>
              </c:strCache>
            </c:strRef>
          </c:tx>
          <c:spPr>
            <a:ln w="38100">
              <a:solidFill>
                <a:srgbClr val="FFD320"/>
              </a:solidFill>
              <a:prstDash val="solid"/>
            </a:ln>
          </c:spPr>
          <c:marker>
            <c:symbol val="none"/>
          </c:marker>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511-4B68-9285-AE6B1BA85F4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'MANTENIMIENTO MANT-IND1'!$C$26</c:f>
              <c:strCache>
                <c:ptCount val="1"/>
                <c:pt idx="0">
                  <c:v>Datos</c:v>
                </c:pt>
              </c:strCache>
            </c:strRef>
          </c:tx>
          <c:spPr>
            <a:solidFill>
              <a:srgbClr val="004586"/>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BEB2-4DB7-8A07-E7D97E612F6D}"/>
            </c:ext>
          </c:extLst>
        </c:ser>
        <c:ser>
          <c:idx val="1"/>
          <c:order val="1"/>
          <c:tx>
            <c:strRef>
              <c:f>'MANTENIMIENTO MANT-IND1'!$D$26</c:f>
              <c:strCache>
                <c:ptCount val="1"/>
                <c:pt idx="0">
                  <c:v>Meta Vigencia</c:v>
                </c:pt>
              </c:strCache>
            </c:strRef>
          </c:tx>
          <c:spPr>
            <a:solidFill>
              <a:srgbClr val="FF420E"/>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B2-4DB7-8A07-E7D97E612F6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MANT-IND1'!$E$26</c:f>
              <c:strCache>
                <c:ptCount val="1"/>
                <c:pt idx="0">
                  <c:v>Meta Objetivo</c:v>
                </c:pt>
              </c:strCache>
            </c:strRef>
          </c:tx>
          <c:spPr>
            <a:ln w="38100">
              <a:solidFill>
                <a:srgbClr val="FFD320"/>
              </a:solidFill>
              <a:prstDash val="solid"/>
            </a:ln>
          </c:spPr>
          <c:marker>
            <c:symbol val="none"/>
          </c:marker>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B2-4DB7-8A07-E7D97E612F6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26822727526"/>
          <c:y val="5.1252281828606541E-2"/>
          <c:w val="0.8752504841069052"/>
          <c:h val="0.73875284020941046"/>
        </c:manualLayout>
      </c:layout>
      <c:barChart>
        <c:barDir val="col"/>
        <c:grouping val="clustered"/>
        <c:varyColors val="0"/>
        <c:ser>
          <c:idx val="0"/>
          <c:order val="0"/>
          <c:tx>
            <c:strRef>
              <c:f>'MANTENIMIENTO MANT-IND2'!$C$26</c:f>
              <c:strCache>
                <c:ptCount val="1"/>
                <c:pt idx="0">
                  <c:v>Datos</c:v>
                </c:pt>
              </c:strCache>
            </c:strRef>
          </c:tx>
          <c:spPr>
            <a:solidFill>
              <a:srgbClr val="004586"/>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MANT-IND2'!$C$27:$C$38</c:f>
              <c:numCache>
                <c:formatCode>0%</c:formatCode>
                <c:ptCount val="12"/>
                <c:pt idx="0">
                  <c:v>0.47675116435324238</c:v>
                </c:pt>
                <c:pt idx="3">
                  <c:v>0.61378210714285719</c:v>
                </c:pt>
                <c:pt idx="6">
                  <c:v>0.59001206570047071</c:v>
                </c:pt>
                <c:pt idx="9">
                  <c:v>0.48323906286255225</c:v>
                </c:pt>
              </c:numCache>
            </c:numRef>
          </c:val>
          <c:extLst>
            <c:ext xmlns:c16="http://schemas.microsoft.com/office/drawing/2014/chart" uri="{C3380CC4-5D6E-409C-BE32-E72D297353CC}">
              <c16:uniqueId val="{00000000-E84E-488A-BF41-82A3A85E4D42}"/>
            </c:ext>
          </c:extLst>
        </c:ser>
        <c:ser>
          <c:idx val="1"/>
          <c:order val="1"/>
          <c:tx>
            <c:strRef>
              <c:f>'MANTENIMIENTO MANT-IND2'!$D$26</c:f>
              <c:strCache>
                <c:ptCount val="1"/>
                <c:pt idx="0">
                  <c:v>Meta Vigencia</c:v>
                </c:pt>
              </c:strCache>
            </c:strRef>
          </c:tx>
          <c:spPr>
            <a:solidFill>
              <a:srgbClr val="FF420E"/>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84E-488A-BF41-82A3A85E4D4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MANT-IND2'!$E$26</c:f>
              <c:strCache>
                <c:ptCount val="1"/>
                <c:pt idx="0">
                  <c:v>Meta Objetivo</c:v>
                </c:pt>
              </c:strCache>
            </c:strRef>
          </c:tx>
          <c:spPr>
            <a:ln w="38100">
              <a:solidFill>
                <a:srgbClr val="FFD320"/>
              </a:solidFill>
              <a:prstDash val="solid"/>
            </a:ln>
          </c:spPr>
          <c:marker>
            <c:symbol val="none"/>
          </c:marker>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84E-488A-BF41-82A3A85E4D4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VIV-IND1'!$C$26</c:f>
              <c:strCache>
                <c:ptCount val="1"/>
                <c:pt idx="0">
                  <c:v>Datos</c:v>
                </c:pt>
              </c:strCache>
            </c:strRef>
          </c:tx>
          <c:spPr>
            <a:solidFill>
              <a:srgbClr val="004586"/>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VIV-IND1'!$C$27:$C$38</c:f>
              <c:numCache>
                <c:formatCode>0%</c:formatCode>
                <c:ptCount val="12"/>
                <c:pt idx="0">
                  <c:v>0.13358900607222754</c:v>
                </c:pt>
                <c:pt idx="3">
                  <c:v>0.14637264301693831</c:v>
                </c:pt>
                <c:pt idx="6">
                  <c:v>0.13294982422499202</c:v>
                </c:pt>
                <c:pt idx="9">
                  <c:v>0.19235077612417986</c:v>
                </c:pt>
              </c:numCache>
            </c:numRef>
          </c:val>
          <c:extLst>
            <c:ext xmlns:c16="http://schemas.microsoft.com/office/drawing/2014/chart" uri="{C3380CC4-5D6E-409C-BE32-E72D297353CC}">
              <c16:uniqueId val="{00000000-06AA-41DE-8C38-41F35EE5C5F8}"/>
            </c:ext>
          </c:extLst>
        </c:ser>
        <c:ser>
          <c:idx val="1"/>
          <c:order val="1"/>
          <c:tx>
            <c:strRef>
              <c:f>'VIVIENDAS VIV-IND1'!$D$26</c:f>
              <c:strCache>
                <c:ptCount val="1"/>
                <c:pt idx="0">
                  <c:v>Meta Vigencia</c:v>
                </c:pt>
              </c:strCache>
            </c:strRef>
          </c:tx>
          <c:spPr>
            <a:solidFill>
              <a:srgbClr val="FF420E"/>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VIV-IND1'!$D$27:$D$38</c:f>
              <c:numCache>
                <c:formatCode>0%</c:formatCode>
                <c:ptCount val="12"/>
                <c:pt idx="0">
                  <c:v>0.15</c:v>
                </c:pt>
                <c:pt idx="3">
                  <c:v>0.15</c:v>
                </c:pt>
                <c:pt idx="6">
                  <c:v>0.15</c:v>
                </c:pt>
                <c:pt idx="9">
                  <c:v>0.15</c:v>
                </c:pt>
              </c:numCache>
            </c:numRef>
          </c:val>
          <c:extLst>
            <c:ext xmlns:c16="http://schemas.microsoft.com/office/drawing/2014/chart" uri="{C3380CC4-5D6E-409C-BE32-E72D297353CC}">
              <c16:uniqueId val="{00000001-06AA-41DE-8C38-41F35EE5C5F8}"/>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VIV-IND1'!$E$26</c:f>
              <c:strCache>
                <c:ptCount val="1"/>
                <c:pt idx="0">
                  <c:v>Meta Objetivo</c:v>
                </c:pt>
              </c:strCache>
            </c:strRef>
          </c:tx>
          <c:spPr>
            <a:ln w="38100">
              <a:solidFill>
                <a:srgbClr val="FFD320"/>
              </a:solidFill>
              <a:prstDash val="solid"/>
            </a:ln>
          </c:spPr>
          <c:marker>
            <c:symbol val="none"/>
          </c:marker>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VIV-IND1'!$E$27:$E$38</c:f>
              <c:numCache>
                <c:formatCode>0%</c:formatCode>
                <c:ptCount val="12"/>
                <c:pt idx="0">
                  <c:v>0.2</c:v>
                </c:pt>
                <c:pt idx="1">
                  <c:v>0.2</c:v>
                </c:pt>
                <c:pt idx="2">
                  <c:v>0.2</c:v>
                </c:pt>
                <c:pt idx="3">
                  <c:v>0.2</c:v>
                </c:pt>
                <c:pt idx="4">
                  <c:v>0.2</c:v>
                </c:pt>
                <c:pt idx="5">
                  <c:v>0.2</c:v>
                </c:pt>
                <c:pt idx="6">
                  <c:v>0.2</c:v>
                </c:pt>
                <c:pt idx="7">
                  <c:v>0.2</c:v>
                </c:pt>
                <c:pt idx="8">
                  <c:v>0.2</c:v>
                </c:pt>
                <c:pt idx="9">
                  <c:v>0.2</c:v>
                </c:pt>
                <c:pt idx="10">
                  <c:v>0.2</c:v>
                </c:pt>
                <c:pt idx="11">
                  <c:v>0</c:v>
                </c:pt>
              </c:numCache>
            </c:numRef>
          </c:val>
          <c:smooth val="0"/>
          <c:extLst>
            <c:ext xmlns:c16="http://schemas.microsoft.com/office/drawing/2014/chart" uri="{C3380CC4-5D6E-409C-BE32-E72D297353CC}">
              <c16:uniqueId val="{00000002-06AA-41DE-8C38-41F35EE5C5F8}"/>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VIV-IND2'!$C$26</c:f>
              <c:strCache>
                <c:ptCount val="1"/>
                <c:pt idx="0">
                  <c:v>Datos</c:v>
                </c:pt>
              </c:strCache>
            </c:strRef>
          </c:tx>
          <c:spPr>
            <a:solidFill>
              <a:srgbClr val="004586"/>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VIV-IND2'!$C$27:$C$38</c:f>
              <c:numCache>
                <c:formatCode>0%</c:formatCode>
                <c:ptCount val="12"/>
                <c:pt idx="0">
                  <c:v>1.0185185185185186</c:v>
                </c:pt>
                <c:pt idx="3">
                  <c:v>0.62608695652173918</c:v>
                </c:pt>
                <c:pt idx="6">
                  <c:v>0.90400000000000003</c:v>
                </c:pt>
                <c:pt idx="9">
                  <c:v>0.68249258160237392</c:v>
                </c:pt>
              </c:numCache>
            </c:numRef>
          </c:val>
          <c:extLst>
            <c:ext xmlns:c16="http://schemas.microsoft.com/office/drawing/2014/chart" uri="{C3380CC4-5D6E-409C-BE32-E72D297353CC}">
              <c16:uniqueId val="{00000000-2C98-418A-B052-FAC40B7EF440}"/>
            </c:ext>
          </c:extLst>
        </c:ser>
        <c:ser>
          <c:idx val="1"/>
          <c:order val="1"/>
          <c:tx>
            <c:strRef>
              <c:f>'VIVIENDAS VIV-IND2'!$D$26</c:f>
              <c:strCache>
                <c:ptCount val="1"/>
                <c:pt idx="0">
                  <c:v>Meta Vigencia</c:v>
                </c:pt>
              </c:strCache>
            </c:strRef>
          </c:tx>
          <c:spPr>
            <a:solidFill>
              <a:srgbClr val="FF420E"/>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2C98-418A-B052-FAC40B7EF4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VIV-IND2'!$E$26</c:f>
              <c:strCache>
                <c:ptCount val="1"/>
                <c:pt idx="0">
                  <c:v>Meta Objetivo</c:v>
                </c:pt>
              </c:strCache>
            </c:strRef>
          </c:tx>
          <c:spPr>
            <a:ln w="38100">
              <a:solidFill>
                <a:srgbClr val="FFD320"/>
              </a:solidFill>
              <a:prstDash val="solid"/>
            </a:ln>
          </c:spPr>
          <c:marker>
            <c:symbol val="none"/>
          </c:marker>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C98-418A-B052-FAC40B7EF4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FIN-IND1'!$C$26</c:f>
              <c:strCache>
                <c:ptCount val="1"/>
                <c:pt idx="0">
                  <c:v>Datos</c:v>
                </c:pt>
              </c:strCache>
            </c:strRef>
          </c:tx>
          <c:spPr>
            <a:solidFill>
              <a:srgbClr val="004586"/>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FIN-IND1'!$C$27:$C$38</c:f>
              <c:numCache>
                <c:formatCode>0%</c:formatCode>
                <c:ptCount val="12"/>
                <c:pt idx="0">
                  <c:v>0.77874570954331523</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2BC-4048-AE8C-C37AEBACF7DE}"/>
            </c:ext>
          </c:extLst>
        </c:ser>
        <c:ser>
          <c:idx val="1"/>
          <c:order val="1"/>
          <c:tx>
            <c:strRef>
              <c:f>'FINCA RAIZ FIN-IND1'!$D$26</c:f>
              <c:strCache>
                <c:ptCount val="1"/>
                <c:pt idx="0">
                  <c:v>Meta Vigencia</c:v>
                </c:pt>
              </c:strCache>
            </c:strRef>
          </c:tx>
          <c:spPr>
            <a:solidFill>
              <a:srgbClr val="FF420E"/>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FIN-IND1'!$D$27:$D$38</c:f>
              <c:numCache>
                <c:formatCode>0%</c:formatCode>
                <c:ptCount val="12"/>
                <c:pt idx="0">
                  <c:v>1</c:v>
                </c:pt>
              </c:numCache>
            </c:numRef>
          </c:val>
          <c:extLst>
            <c:ext xmlns:c16="http://schemas.microsoft.com/office/drawing/2014/chart" uri="{C3380CC4-5D6E-409C-BE32-E72D297353CC}">
              <c16:uniqueId val="{00000001-22BC-4048-AE8C-C37AEBACF7D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FIN-IND1'!$E$26</c:f>
              <c:strCache>
                <c:ptCount val="1"/>
                <c:pt idx="0">
                  <c:v>Meta Objetivo</c:v>
                </c:pt>
              </c:strCache>
            </c:strRef>
          </c:tx>
          <c:spPr>
            <a:ln w="38100">
              <a:solidFill>
                <a:srgbClr val="FFD320"/>
              </a:solidFill>
              <a:prstDash val="solid"/>
            </a:ln>
          </c:spPr>
          <c:marker>
            <c:symbol val="none"/>
          </c:marker>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2BC-4048-AE8C-C37AEBACF7D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FIN-IND2'!$C$26</c:f>
              <c:strCache>
                <c:ptCount val="1"/>
                <c:pt idx="0">
                  <c:v>Datos</c:v>
                </c:pt>
              </c:strCache>
            </c:strRef>
          </c:tx>
          <c:spPr>
            <a:solidFill>
              <a:srgbClr val="004586"/>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FIN-IND2'!$C$27:$C$38</c:f>
              <c:numCache>
                <c:formatCode>0%</c:formatCode>
                <c:ptCount val="12"/>
                <c:pt idx="0">
                  <c:v>0.76116004052631581</c:v>
                </c:pt>
              </c:numCache>
            </c:numRef>
          </c:val>
          <c:extLst>
            <c:ext xmlns:c16="http://schemas.microsoft.com/office/drawing/2014/chart" uri="{C3380CC4-5D6E-409C-BE32-E72D297353CC}">
              <c16:uniqueId val="{00000000-3129-4C63-B9FF-0702E7C19BD0}"/>
            </c:ext>
          </c:extLst>
        </c:ser>
        <c:ser>
          <c:idx val="1"/>
          <c:order val="1"/>
          <c:tx>
            <c:strRef>
              <c:f>'FINCA RAIZ FIN-IND2'!$D$26</c:f>
              <c:strCache>
                <c:ptCount val="1"/>
                <c:pt idx="0">
                  <c:v>Meta Vigencia</c:v>
                </c:pt>
              </c:strCache>
            </c:strRef>
          </c:tx>
          <c:spPr>
            <a:solidFill>
              <a:srgbClr val="FF420E"/>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FIN-IND2'!$D$27:$D$38</c:f>
              <c:numCache>
                <c:formatCode>0%</c:formatCode>
                <c:ptCount val="12"/>
                <c:pt idx="0">
                  <c:v>1</c:v>
                </c:pt>
              </c:numCache>
            </c:numRef>
          </c:val>
          <c:extLst>
            <c:ext xmlns:c16="http://schemas.microsoft.com/office/drawing/2014/chart" uri="{C3380CC4-5D6E-409C-BE32-E72D297353CC}">
              <c16:uniqueId val="{00000001-3129-4C63-B9FF-0702E7C19BD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FIN-IND2'!$E$26</c:f>
              <c:strCache>
                <c:ptCount val="1"/>
                <c:pt idx="0">
                  <c:v>Meta Objetivo</c:v>
                </c:pt>
              </c:strCache>
            </c:strRef>
          </c:tx>
          <c:spPr>
            <a:ln w="38100">
              <a:solidFill>
                <a:srgbClr val="FFD320"/>
              </a:solidFill>
              <a:prstDash val="solid"/>
            </a:ln>
          </c:spPr>
          <c:marker>
            <c:symbol val="none"/>
          </c:marker>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29-4C63-B9FF-0702E7C19BD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SPU-IND1'!$C$26</c:f>
              <c:strCache>
                <c:ptCount val="1"/>
                <c:pt idx="0">
                  <c:v>Datos</c:v>
                </c:pt>
              </c:strCache>
            </c:strRef>
          </c:tx>
          <c:spPr>
            <a:solidFill>
              <a:srgbClr val="004586"/>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SPU-IND1'!$C$27:$C$38</c:f>
              <c:numCache>
                <c:formatCode>0%</c:formatCode>
                <c:ptCount val="12"/>
                <c:pt idx="0">
                  <c:v>0.24801049999999999</c:v>
                </c:pt>
                <c:pt idx="3">
                  <c:v>0.28745392592592595</c:v>
                </c:pt>
                <c:pt idx="6">
                  <c:v>0.73294097222222221</c:v>
                </c:pt>
                <c:pt idx="9">
                  <c:v>0.7361455185185185</c:v>
                </c:pt>
              </c:numCache>
            </c:numRef>
          </c:val>
          <c:extLst>
            <c:ext xmlns:c16="http://schemas.microsoft.com/office/drawing/2014/chart" uri="{C3380CC4-5D6E-409C-BE32-E72D297353CC}">
              <c16:uniqueId val="{00000000-D80F-4105-BF00-11E57A6DA384}"/>
            </c:ext>
          </c:extLst>
        </c:ser>
        <c:ser>
          <c:idx val="1"/>
          <c:order val="1"/>
          <c:tx>
            <c:strRef>
              <c:f>'SER. PUBLICOS SPU-IND1'!$D$26</c:f>
              <c:strCache>
                <c:ptCount val="1"/>
                <c:pt idx="0">
                  <c:v>Meta Vigencia</c:v>
                </c:pt>
              </c:strCache>
            </c:strRef>
          </c:tx>
          <c:spPr>
            <a:solidFill>
              <a:srgbClr val="FF420E"/>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80F-4105-BF00-11E57A6DA38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SPU-IND1'!$E$26</c:f>
              <c:strCache>
                <c:ptCount val="1"/>
                <c:pt idx="0">
                  <c:v>Meta Objetivo</c:v>
                </c:pt>
              </c:strCache>
            </c:strRef>
          </c:tx>
          <c:spPr>
            <a:ln w="38100">
              <a:solidFill>
                <a:srgbClr val="FFD320"/>
              </a:solidFill>
              <a:prstDash val="solid"/>
            </a:ln>
          </c:spPr>
          <c:marker>
            <c:symbol val="none"/>
          </c:marker>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80F-4105-BF00-11E57A6DA38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SPU-IND2'!$C$26</c:f>
              <c:strCache>
                <c:ptCount val="1"/>
                <c:pt idx="0">
                  <c:v>Datos</c:v>
                </c:pt>
              </c:strCache>
            </c:strRef>
          </c:tx>
          <c:spPr>
            <a:solidFill>
              <a:srgbClr val="004586"/>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SPU-IND2'!$C$27:$C$38</c:f>
              <c:numCache>
                <c:formatCode>0%</c:formatCode>
                <c:ptCount val="12"/>
                <c:pt idx="0">
                  <c:v>0.4908317836536466</c:v>
                </c:pt>
                <c:pt idx="3">
                  <c:v>0.76823946246433372</c:v>
                </c:pt>
                <c:pt idx="6">
                  <c:v>0.74722687514348496</c:v>
                </c:pt>
                <c:pt idx="9">
                  <c:v>0.82167379718605493</c:v>
                </c:pt>
              </c:numCache>
            </c:numRef>
          </c:val>
          <c:extLst>
            <c:ext xmlns:c16="http://schemas.microsoft.com/office/drawing/2014/chart" uri="{C3380CC4-5D6E-409C-BE32-E72D297353CC}">
              <c16:uniqueId val="{00000000-D9A1-4201-ABBD-877E02D89B26}"/>
            </c:ext>
          </c:extLst>
        </c:ser>
        <c:ser>
          <c:idx val="1"/>
          <c:order val="1"/>
          <c:tx>
            <c:strRef>
              <c:f>'SER. PUBLICOS SPU-IND2'!$D$26</c:f>
              <c:strCache>
                <c:ptCount val="1"/>
                <c:pt idx="0">
                  <c:v>Meta Vigencia</c:v>
                </c:pt>
              </c:strCache>
            </c:strRef>
          </c:tx>
          <c:spPr>
            <a:solidFill>
              <a:srgbClr val="FF420E"/>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9A1-4201-ABBD-877E02D89B2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SPU-IND2'!$E$26</c:f>
              <c:strCache>
                <c:ptCount val="1"/>
                <c:pt idx="0">
                  <c:v>Meta Objetivo</c:v>
                </c:pt>
              </c:strCache>
            </c:strRef>
          </c:tx>
          <c:spPr>
            <a:ln w="38100">
              <a:solidFill>
                <a:srgbClr val="FFD320"/>
              </a:solidFill>
              <a:prstDash val="solid"/>
            </a:ln>
          </c:spPr>
          <c:marker>
            <c:symbol val="none"/>
          </c:marker>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9A1-4201-ABBD-877E02D89B2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SPU-IND3'!$C$26</c:f>
              <c:strCache>
                <c:ptCount val="1"/>
                <c:pt idx="0">
                  <c:v>Datos</c:v>
                </c:pt>
              </c:strCache>
            </c:strRef>
          </c:tx>
          <c:spPr>
            <a:solidFill>
              <a:srgbClr val="004586"/>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SPU-IND3'!$C$27:$C$38</c:f>
              <c:numCache>
                <c:formatCode>0%</c:formatCode>
                <c:ptCount val="12"/>
                <c:pt idx="0">
                  <c:v>0.10577357142857143</c:v>
                </c:pt>
                <c:pt idx="3">
                  <c:v>0.11002712422360249</c:v>
                </c:pt>
                <c:pt idx="6">
                  <c:v>0.48050021739130433</c:v>
                </c:pt>
                <c:pt idx="9">
                  <c:v>0.53846564596273294</c:v>
                </c:pt>
              </c:numCache>
            </c:numRef>
          </c:val>
          <c:extLst>
            <c:ext xmlns:c16="http://schemas.microsoft.com/office/drawing/2014/chart" uri="{C3380CC4-5D6E-409C-BE32-E72D297353CC}">
              <c16:uniqueId val="{00000000-FCE0-49D9-A07E-309DC6AC57CE}"/>
            </c:ext>
          </c:extLst>
        </c:ser>
        <c:ser>
          <c:idx val="1"/>
          <c:order val="1"/>
          <c:tx>
            <c:strRef>
              <c:f>'SER. PUBLICOS SPU-IND3'!$D$26</c:f>
              <c:strCache>
                <c:ptCount val="1"/>
                <c:pt idx="0">
                  <c:v>Meta Vigencia</c:v>
                </c:pt>
              </c:strCache>
            </c:strRef>
          </c:tx>
          <c:spPr>
            <a:solidFill>
              <a:srgbClr val="FF420E"/>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FCE0-49D9-A07E-309DC6AC57C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SPU-IND3'!$E$26</c:f>
              <c:strCache>
                <c:ptCount val="1"/>
                <c:pt idx="0">
                  <c:v>Meta Objetivo</c:v>
                </c:pt>
              </c:strCache>
            </c:strRef>
          </c:tx>
          <c:spPr>
            <a:ln w="38100">
              <a:solidFill>
                <a:srgbClr val="FFD320"/>
              </a:solidFill>
              <a:prstDash val="solid"/>
            </a:ln>
          </c:spPr>
          <c:marker>
            <c:symbol val="none"/>
          </c:marker>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CE0-49D9-A07E-309DC6AC57C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SPU-IND4'!$C$26</c:f>
              <c:strCache>
                <c:ptCount val="1"/>
                <c:pt idx="0">
                  <c:v>Datos</c:v>
                </c:pt>
              </c:strCache>
            </c:strRef>
          </c:tx>
          <c:spPr>
            <a:solidFill>
              <a:srgbClr val="004586"/>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SPU-IND4'!$C$27:$C$38</c:f>
              <c:numCache>
                <c:formatCode>0%</c:formatCode>
                <c:ptCount val="12"/>
                <c:pt idx="0">
                  <c:v>0.26761398772727274</c:v>
                </c:pt>
                <c:pt idx="3">
                  <c:v>0.49141279411764704</c:v>
                </c:pt>
                <c:pt idx="6">
                  <c:v>0.6736448664705883</c:v>
                </c:pt>
                <c:pt idx="9">
                  <c:v>0.69924153323529403</c:v>
                </c:pt>
              </c:numCache>
            </c:numRef>
          </c:val>
          <c:extLst>
            <c:ext xmlns:c16="http://schemas.microsoft.com/office/drawing/2014/chart" uri="{C3380CC4-5D6E-409C-BE32-E72D297353CC}">
              <c16:uniqueId val="{00000000-6CF8-40E6-9D7A-9150CD22DAF3}"/>
            </c:ext>
          </c:extLst>
        </c:ser>
        <c:ser>
          <c:idx val="1"/>
          <c:order val="1"/>
          <c:tx>
            <c:strRef>
              <c:f>'SER. PUBLICOS SPU-IND4'!$D$26</c:f>
              <c:strCache>
                <c:ptCount val="1"/>
                <c:pt idx="0">
                  <c:v>Meta Vigencia</c:v>
                </c:pt>
              </c:strCache>
            </c:strRef>
          </c:tx>
          <c:spPr>
            <a:solidFill>
              <a:srgbClr val="FF420E"/>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CF8-40E6-9D7A-9150CD22DAF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SPU-IND4'!$E$26</c:f>
              <c:strCache>
                <c:ptCount val="1"/>
                <c:pt idx="0">
                  <c:v>Meta Objetivo</c:v>
                </c:pt>
              </c:strCache>
            </c:strRef>
          </c:tx>
          <c:spPr>
            <a:ln w="38100">
              <a:solidFill>
                <a:srgbClr val="FFD320"/>
              </a:solidFill>
              <a:prstDash val="solid"/>
            </a:ln>
          </c:spPr>
          <c:marker>
            <c:symbol val="none"/>
          </c:marker>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F8-40E6-9D7A-9150CD22DAF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SPU-IND5'!$C$26</c:f>
              <c:strCache>
                <c:ptCount val="1"/>
                <c:pt idx="0">
                  <c:v>Datos</c:v>
                </c:pt>
              </c:strCache>
            </c:strRef>
          </c:tx>
          <c:spPr>
            <a:solidFill>
              <a:srgbClr val="004586"/>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SPU-IND5'!$C$27:$C$38</c:f>
              <c:numCache>
                <c:formatCode>0%</c:formatCode>
                <c:ptCount val="12"/>
                <c:pt idx="0">
                  <c:v>6.6072561249999995E-2</c:v>
                </c:pt>
                <c:pt idx="3">
                  <c:v>6.0093720000000003E-2</c:v>
                </c:pt>
                <c:pt idx="6">
                  <c:v>0.24800133880535713</c:v>
                </c:pt>
                <c:pt idx="9">
                  <c:v>0.28382207025178574</c:v>
                </c:pt>
              </c:numCache>
            </c:numRef>
          </c:val>
          <c:extLst>
            <c:ext xmlns:c16="http://schemas.microsoft.com/office/drawing/2014/chart" uri="{C3380CC4-5D6E-409C-BE32-E72D297353CC}">
              <c16:uniqueId val="{00000000-9477-46E3-8576-D4F9DA0D5411}"/>
            </c:ext>
          </c:extLst>
        </c:ser>
        <c:ser>
          <c:idx val="1"/>
          <c:order val="1"/>
          <c:tx>
            <c:strRef>
              <c:f>'SER. PUBLICOS SPU-IND5'!$D$26</c:f>
              <c:strCache>
                <c:ptCount val="1"/>
                <c:pt idx="0">
                  <c:v>Meta Vigencia</c:v>
                </c:pt>
              </c:strCache>
            </c:strRef>
          </c:tx>
          <c:spPr>
            <a:solidFill>
              <a:srgbClr val="FF420E"/>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477-46E3-8576-D4F9DA0D541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SPU-IND5'!$E$26</c:f>
              <c:strCache>
                <c:ptCount val="1"/>
                <c:pt idx="0">
                  <c:v>Meta Objetivo</c:v>
                </c:pt>
              </c:strCache>
            </c:strRef>
          </c:tx>
          <c:spPr>
            <a:ln w="38100">
              <a:solidFill>
                <a:srgbClr val="FFD320"/>
              </a:solidFill>
              <a:prstDash val="solid"/>
            </a:ln>
          </c:spPr>
          <c:marker>
            <c:symbol val="none"/>
          </c:marker>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477-46E3-8576-D4F9DA0D541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'CARTERA CART-IND1'!$C$26</c:f>
              <c:strCache>
                <c:ptCount val="1"/>
                <c:pt idx="0">
                  <c:v>Datos</c:v>
                </c:pt>
              </c:strCache>
            </c:strRef>
          </c:tx>
          <c:spPr>
            <a:solidFill>
              <a:srgbClr val="004586"/>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CART-IND1'!$C$27:$C$38</c:f>
              <c:numCache>
                <c:formatCode>0%</c:formatCode>
                <c:ptCount val="12"/>
                <c:pt idx="0">
                  <c:v>0.72586928510012405</c:v>
                </c:pt>
                <c:pt idx="3">
                  <c:v>1.3638466400992222</c:v>
                </c:pt>
                <c:pt idx="6">
                  <c:v>0.97996856416803046</c:v>
                </c:pt>
                <c:pt idx="9">
                  <c:v>1.0179540731916585</c:v>
                </c:pt>
              </c:numCache>
            </c:numRef>
          </c:val>
          <c:extLst>
            <c:ext xmlns:c16="http://schemas.microsoft.com/office/drawing/2014/chart" uri="{C3380CC4-5D6E-409C-BE32-E72D297353CC}">
              <c16:uniqueId val="{00000000-92CA-4E01-A690-B6F880165E86}"/>
            </c:ext>
          </c:extLst>
        </c:ser>
        <c:ser>
          <c:idx val="1"/>
          <c:order val="1"/>
          <c:tx>
            <c:strRef>
              <c:f>'CARTERA CART-IND1'!$D$26</c:f>
              <c:strCache>
                <c:ptCount val="1"/>
                <c:pt idx="0">
                  <c:v>Meta Vigencia</c:v>
                </c:pt>
              </c:strCache>
            </c:strRef>
          </c:tx>
          <c:spPr>
            <a:solidFill>
              <a:srgbClr val="FF420E"/>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2CA-4E01-A690-B6F880165E8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'CARTERA CART-IND1'!$E$26</c:f>
              <c:strCache>
                <c:ptCount val="1"/>
                <c:pt idx="0">
                  <c:v>Meta Objetivo</c:v>
                </c:pt>
              </c:strCache>
            </c:strRef>
          </c:tx>
          <c:spPr>
            <a:ln w="38100">
              <a:solidFill>
                <a:srgbClr val="FFD320"/>
              </a:solidFill>
              <a:prstDash val="solid"/>
            </a:ln>
          </c:spPr>
          <c:marker>
            <c:symbol val="none"/>
          </c:marker>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2CA-4E01-A690-B6F880165E8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ADQ-IND1'!$C$26</c:f>
              <c:strCache>
                <c:ptCount val="1"/>
                <c:pt idx="0">
                  <c:v>Datos</c:v>
                </c:pt>
              </c:strCache>
            </c:strRef>
          </c:tx>
          <c:spPr>
            <a:solidFill>
              <a:srgbClr val="004586"/>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87BF-4FB0-B61F-B429AEF59840}"/>
            </c:ext>
          </c:extLst>
        </c:ser>
        <c:ser>
          <c:idx val="1"/>
          <c:order val="1"/>
          <c:tx>
            <c:strRef>
              <c:f>'CONTRATOS ADQ-IND1'!$D$26</c:f>
              <c:strCache>
                <c:ptCount val="1"/>
                <c:pt idx="0">
                  <c:v>Meta Vigencia</c:v>
                </c:pt>
              </c:strCache>
            </c:strRef>
          </c:tx>
          <c:spPr>
            <a:solidFill>
              <a:srgbClr val="FF420E"/>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87BF-4FB0-B61F-B429AEF598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ADQ-IND1'!$E$26</c:f>
              <c:strCache>
                <c:ptCount val="1"/>
                <c:pt idx="0">
                  <c:v>Meta Objetivo</c:v>
                </c:pt>
              </c:strCache>
            </c:strRef>
          </c:tx>
          <c:spPr>
            <a:ln w="38100">
              <a:solidFill>
                <a:srgbClr val="FFD320"/>
              </a:solidFill>
              <a:prstDash val="solid"/>
            </a:ln>
          </c:spPr>
          <c:marker>
            <c:symbol val="none"/>
          </c:marker>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87BF-4FB0-B61F-B429AEF598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ADQ-IND2'!$C$26</c:f>
              <c:strCache>
                <c:ptCount val="1"/>
                <c:pt idx="0">
                  <c:v>Datos</c:v>
                </c:pt>
              </c:strCache>
            </c:strRef>
          </c:tx>
          <c:spPr>
            <a:solidFill>
              <a:srgbClr val="004586"/>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F891-4FBC-B932-EB1B215FFF82}"/>
            </c:ext>
          </c:extLst>
        </c:ser>
        <c:ser>
          <c:idx val="1"/>
          <c:order val="1"/>
          <c:tx>
            <c:strRef>
              <c:f>'CONTRATOS ADQ-IND2'!$D$26</c:f>
              <c:strCache>
                <c:ptCount val="1"/>
                <c:pt idx="0">
                  <c:v>Meta Vigencia</c:v>
                </c:pt>
              </c:strCache>
            </c:strRef>
          </c:tx>
          <c:spPr>
            <a:solidFill>
              <a:srgbClr val="FF420E"/>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891-4FBC-B932-EB1B215FFF8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ADQ-IND2'!$E$26</c:f>
              <c:strCache>
                <c:ptCount val="1"/>
                <c:pt idx="0">
                  <c:v>Meta Objetivo</c:v>
                </c:pt>
              </c:strCache>
            </c:strRef>
          </c:tx>
          <c:spPr>
            <a:ln w="38100">
              <a:solidFill>
                <a:srgbClr val="FFD320"/>
              </a:solidFill>
              <a:prstDash val="solid"/>
            </a:ln>
          </c:spPr>
          <c:marker>
            <c:symbol val="none"/>
          </c:marker>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891-4FBC-B932-EB1B215FFF8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'ALMACÉN ALM-IND1'!$C$26</c:f>
              <c:strCache>
                <c:ptCount val="1"/>
                <c:pt idx="0">
                  <c:v>Datos</c:v>
                </c:pt>
              </c:strCache>
            </c:strRef>
          </c:tx>
          <c:spPr>
            <a:solidFill>
              <a:srgbClr val="004586"/>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31A3-4DB7-83AA-67FAF2AAAC9A}"/>
            </c:ext>
          </c:extLst>
        </c:ser>
        <c:ser>
          <c:idx val="1"/>
          <c:order val="1"/>
          <c:tx>
            <c:strRef>
              <c:f>'ALMACÉN ALM-IND1'!$D$26</c:f>
              <c:strCache>
                <c:ptCount val="1"/>
                <c:pt idx="0">
                  <c:v>Meta Vigencia</c:v>
                </c:pt>
              </c:strCache>
            </c:strRef>
          </c:tx>
          <c:spPr>
            <a:solidFill>
              <a:srgbClr val="FF420E"/>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1A3-4DB7-83AA-67FAF2AAAC9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'ALMACÉN ALM-IND1'!$E$26</c:f>
              <c:strCache>
                <c:ptCount val="1"/>
                <c:pt idx="0">
                  <c:v>Meta Objetivo</c:v>
                </c:pt>
              </c:strCache>
            </c:strRef>
          </c:tx>
          <c:spPr>
            <a:ln w="38100">
              <a:solidFill>
                <a:srgbClr val="FFD320"/>
              </a:solidFill>
              <a:prstDash val="solid"/>
            </a:ln>
          </c:spPr>
          <c:marker>
            <c:symbol val="none"/>
          </c:marker>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A3-4DB7-83AA-67FAF2AAAC9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TRA-IND1'!$C$26</c:f>
              <c:strCache>
                <c:ptCount val="1"/>
                <c:pt idx="0">
                  <c:v>Datos</c:v>
                </c:pt>
              </c:strCache>
            </c:strRef>
          </c:tx>
          <c:spPr>
            <a:solidFill>
              <a:srgbClr val="004586"/>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TRA-IND1'!$C$27:$C$38</c:f>
              <c:numCache>
                <c:formatCode>0%</c:formatCode>
                <c:ptCount val="12"/>
                <c:pt idx="0">
                  <c:v>0</c:v>
                </c:pt>
                <c:pt idx="3">
                  <c:v>0.77092439371428578</c:v>
                </c:pt>
                <c:pt idx="6">
                  <c:v>0.62494991999999994</c:v>
                </c:pt>
                <c:pt idx="9">
                  <c:v>0</c:v>
                </c:pt>
              </c:numCache>
            </c:numRef>
          </c:val>
          <c:extLst>
            <c:ext xmlns:c16="http://schemas.microsoft.com/office/drawing/2014/chart" uri="{C3380CC4-5D6E-409C-BE32-E72D297353CC}">
              <c16:uniqueId val="{00000000-7222-4B4E-872A-50FBE7D39923}"/>
            </c:ext>
          </c:extLst>
        </c:ser>
        <c:ser>
          <c:idx val="1"/>
          <c:order val="1"/>
          <c:tx>
            <c:strRef>
              <c:f>'TRANSPORTES TRA-IND1'!$D$26</c:f>
              <c:strCache>
                <c:ptCount val="1"/>
                <c:pt idx="0">
                  <c:v>Meta Vigencia</c:v>
                </c:pt>
              </c:strCache>
            </c:strRef>
          </c:tx>
          <c:spPr>
            <a:solidFill>
              <a:srgbClr val="FF420E"/>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7222-4B4E-872A-50FBE7D3992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TRA-IND1'!$E$26</c:f>
              <c:strCache>
                <c:ptCount val="1"/>
                <c:pt idx="0">
                  <c:v>Meta Objetivo</c:v>
                </c:pt>
              </c:strCache>
            </c:strRef>
          </c:tx>
          <c:spPr>
            <a:ln w="38100">
              <a:solidFill>
                <a:srgbClr val="FFD320"/>
              </a:solidFill>
              <a:prstDash val="solid"/>
            </a:ln>
          </c:spPr>
          <c:marker>
            <c:symbol val="none"/>
          </c:marker>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222-4B4E-872A-50FBE7D3992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TRA-IND2'!$C$26</c:f>
              <c:strCache>
                <c:ptCount val="1"/>
                <c:pt idx="0">
                  <c:v>Datos</c:v>
                </c:pt>
              </c:strCache>
            </c:strRef>
          </c:tx>
          <c:spPr>
            <a:solidFill>
              <a:srgbClr val="004586"/>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TRA-IND2'!$C$27:$C$38</c:f>
              <c:numCache>
                <c:formatCode>0%</c:formatCode>
                <c:ptCount val="12"/>
                <c:pt idx="0">
                  <c:v>0.61962522033898304</c:v>
                </c:pt>
                <c:pt idx="3">
                  <c:v>0.60237543457627118</c:v>
                </c:pt>
                <c:pt idx="6">
                  <c:v>0.72321016542372873</c:v>
                </c:pt>
                <c:pt idx="9">
                  <c:v>0</c:v>
                </c:pt>
              </c:numCache>
            </c:numRef>
          </c:val>
          <c:extLst>
            <c:ext xmlns:c16="http://schemas.microsoft.com/office/drawing/2014/chart" uri="{C3380CC4-5D6E-409C-BE32-E72D297353CC}">
              <c16:uniqueId val="{00000000-64DD-49B7-9076-1F50CCDB42EB}"/>
            </c:ext>
          </c:extLst>
        </c:ser>
        <c:ser>
          <c:idx val="1"/>
          <c:order val="1"/>
          <c:tx>
            <c:strRef>
              <c:f>'TRANSPORTES TRA-IND2'!$D$26</c:f>
              <c:strCache>
                <c:ptCount val="1"/>
                <c:pt idx="0">
                  <c:v>Meta Vigencia</c:v>
                </c:pt>
              </c:strCache>
            </c:strRef>
          </c:tx>
          <c:spPr>
            <a:solidFill>
              <a:srgbClr val="FF420E"/>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4DD-49B7-9076-1F50CCDB42E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TRA-IND2'!$E$26</c:f>
              <c:strCache>
                <c:ptCount val="1"/>
                <c:pt idx="0">
                  <c:v>Meta Objetivo</c:v>
                </c:pt>
              </c:strCache>
            </c:strRef>
          </c:tx>
          <c:spPr>
            <a:ln w="38100">
              <a:solidFill>
                <a:srgbClr val="FFD320"/>
              </a:solidFill>
              <a:prstDash val="solid"/>
            </a:ln>
          </c:spPr>
          <c:marker>
            <c:symbol val="none"/>
          </c:marker>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4DD-49B7-9076-1F50CCDB42E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SGA-IND1'!$C$26</c:f>
              <c:strCache>
                <c:ptCount val="1"/>
                <c:pt idx="0">
                  <c:v>Datos</c:v>
                </c:pt>
              </c:strCache>
            </c:strRef>
          </c:tx>
          <c:spPr>
            <a:solidFill>
              <a:srgbClr val="004586"/>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BEAC-4D04-8B98-DE29B7AC5BAC}"/>
            </c:ext>
          </c:extLst>
        </c:ser>
        <c:ser>
          <c:idx val="1"/>
          <c:order val="1"/>
          <c:tx>
            <c:strRef>
              <c:f>'GESTIÓN INTEGRAL SGA-IND1'!$D$26</c:f>
              <c:strCache>
                <c:ptCount val="1"/>
                <c:pt idx="0">
                  <c:v>Meta Vigencia</c:v>
                </c:pt>
              </c:strCache>
            </c:strRef>
          </c:tx>
          <c:spPr>
            <a:solidFill>
              <a:srgbClr val="FF420E"/>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AC-4D04-8B98-DE29B7AC5BA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SGA-IND1'!$E$26</c:f>
              <c:strCache>
                <c:ptCount val="1"/>
                <c:pt idx="0">
                  <c:v>Meta Objetivo</c:v>
                </c:pt>
              </c:strCache>
            </c:strRef>
          </c:tx>
          <c:spPr>
            <a:ln w="38100">
              <a:solidFill>
                <a:srgbClr val="FFD320"/>
              </a:solidFill>
              <a:prstDash val="solid"/>
            </a:ln>
          </c:spPr>
          <c:marker>
            <c:symbol val="none"/>
          </c:marker>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AC-4D04-8B98-DE29B7AC5BA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SGA-IND2'!$C$26</c:f>
              <c:strCache>
                <c:ptCount val="1"/>
                <c:pt idx="0">
                  <c:v>Datos</c:v>
                </c:pt>
              </c:strCache>
            </c:strRef>
          </c:tx>
          <c:spPr>
            <a:solidFill>
              <a:srgbClr val="004586"/>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F55D-4AE7-A386-ECDC8D382A71}"/>
            </c:ext>
          </c:extLst>
        </c:ser>
        <c:ser>
          <c:idx val="1"/>
          <c:order val="1"/>
          <c:tx>
            <c:strRef>
              <c:f>'GESTIÓN INTEGRAL SGA-IND2'!$D$26</c:f>
              <c:strCache>
                <c:ptCount val="1"/>
                <c:pt idx="0">
                  <c:v>Meta Vigencia</c:v>
                </c:pt>
              </c:strCache>
            </c:strRef>
          </c:tx>
          <c:spPr>
            <a:solidFill>
              <a:srgbClr val="FF420E"/>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55D-4AE7-A386-ECDC8D382A7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SGA-IND2'!$E$26</c:f>
              <c:strCache>
                <c:ptCount val="1"/>
                <c:pt idx="0">
                  <c:v>Meta Objetivo</c:v>
                </c:pt>
              </c:strCache>
            </c:strRef>
          </c:tx>
          <c:spPr>
            <a:ln w="38100">
              <a:solidFill>
                <a:srgbClr val="FFD320"/>
              </a:solidFill>
              <a:prstDash val="solid"/>
            </a:ln>
          </c:spPr>
          <c:marker>
            <c:symbol val="none"/>
          </c:marker>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55D-4AE7-A386-ECDC8D382A7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SGA-IND3'!$C$26</c:f>
              <c:strCache>
                <c:ptCount val="1"/>
                <c:pt idx="0">
                  <c:v>Datos</c:v>
                </c:pt>
              </c:strCache>
            </c:strRef>
          </c:tx>
          <c:spPr>
            <a:solidFill>
              <a:srgbClr val="004586"/>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6C58-453C-AA02-DEA69D58FD53}"/>
            </c:ext>
          </c:extLst>
        </c:ser>
        <c:ser>
          <c:idx val="1"/>
          <c:order val="1"/>
          <c:tx>
            <c:strRef>
              <c:f>'GESTIÓN INTEGRAL SGA-IND3'!$D$26</c:f>
              <c:strCache>
                <c:ptCount val="1"/>
                <c:pt idx="0">
                  <c:v>Meta Vigencia</c:v>
                </c:pt>
              </c:strCache>
            </c:strRef>
          </c:tx>
          <c:spPr>
            <a:solidFill>
              <a:srgbClr val="FF420E"/>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C58-453C-AA02-DEA69D58FD5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SGA-IND3'!$E$26</c:f>
              <c:strCache>
                <c:ptCount val="1"/>
                <c:pt idx="0">
                  <c:v>Meta Objetivo</c:v>
                </c:pt>
              </c:strCache>
            </c:strRef>
          </c:tx>
          <c:spPr>
            <a:ln w="38100">
              <a:solidFill>
                <a:srgbClr val="FFD320"/>
              </a:solidFill>
              <a:prstDash val="solid"/>
            </a:ln>
          </c:spPr>
          <c:marker>
            <c:symbol val="none"/>
          </c:marker>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58-453C-AA02-DEA69D58FD5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SGA-IND4'!$C$26</c:f>
              <c:strCache>
                <c:ptCount val="1"/>
                <c:pt idx="0">
                  <c:v>Datos</c:v>
                </c:pt>
              </c:strCache>
            </c:strRef>
          </c:tx>
          <c:spPr>
            <a:solidFill>
              <a:srgbClr val="004586"/>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74DB-4DB4-B167-EB77692392EE}"/>
            </c:ext>
          </c:extLst>
        </c:ser>
        <c:ser>
          <c:idx val="1"/>
          <c:order val="1"/>
          <c:tx>
            <c:strRef>
              <c:f>'GESTIÓN INTEGRAL SGA-IND4'!$D$26</c:f>
              <c:strCache>
                <c:ptCount val="1"/>
                <c:pt idx="0">
                  <c:v>Meta Vigencia</c:v>
                </c:pt>
              </c:strCache>
            </c:strRef>
          </c:tx>
          <c:spPr>
            <a:solidFill>
              <a:srgbClr val="FF420E"/>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4DB-4DB4-B167-EB77692392E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SGA-IND4'!$E$26</c:f>
              <c:strCache>
                <c:ptCount val="1"/>
                <c:pt idx="0">
                  <c:v>Meta Objetivo</c:v>
                </c:pt>
              </c:strCache>
            </c:strRef>
          </c:tx>
          <c:spPr>
            <a:ln w="38100">
              <a:solidFill>
                <a:srgbClr val="FFD320"/>
              </a:solidFill>
              <a:prstDash val="solid"/>
            </a:ln>
          </c:spPr>
          <c:marker>
            <c:symbol val="none"/>
          </c:marker>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4DB-4DB4-B167-EB77692392E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SGA-IND5'!$C$26</c:f>
              <c:strCache>
                <c:ptCount val="1"/>
                <c:pt idx="0">
                  <c:v>Datos</c:v>
                </c:pt>
              </c:strCache>
            </c:strRef>
          </c:tx>
          <c:spPr>
            <a:solidFill>
              <a:srgbClr val="004586"/>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6714-4FDB-8C11-9B377A8FBB06}"/>
            </c:ext>
          </c:extLst>
        </c:ser>
        <c:ser>
          <c:idx val="1"/>
          <c:order val="1"/>
          <c:tx>
            <c:strRef>
              <c:f>'GESTIÓN INTEGRAL SGA-IND5'!$D$26</c:f>
              <c:strCache>
                <c:ptCount val="1"/>
                <c:pt idx="0">
                  <c:v>Meta Vigencia</c:v>
                </c:pt>
              </c:strCache>
            </c:strRef>
          </c:tx>
          <c:spPr>
            <a:solidFill>
              <a:srgbClr val="FF420E"/>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14-4FDB-8C11-9B377A8FBB0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SGA-IND5'!$E$26</c:f>
              <c:strCache>
                <c:ptCount val="1"/>
                <c:pt idx="0">
                  <c:v>Meta Objetivo</c:v>
                </c:pt>
              </c:strCache>
            </c:strRef>
          </c:tx>
          <c:spPr>
            <a:ln w="38100">
              <a:solidFill>
                <a:srgbClr val="FFD320"/>
              </a:solidFill>
              <a:prstDash val="solid"/>
            </a:ln>
          </c:spPr>
          <c:marker>
            <c:symbol val="none"/>
          </c:marker>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14-4FDB-8C11-9B377A8FBB0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AUSENTISMO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'GESTIÓN INTEGRAL SST-IND1 2021'!$A$9:$B$9</c:f>
              <c:strCache>
                <c:ptCount val="2"/>
                <c:pt idx="0">
                  <c:v>ENERO 2021</c:v>
                </c:pt>
                <c:pt idx="1">
                  <c:v>25</c:v>
                </c:pt>
              </c:strCache>
            </c:strRef>
          </c:tx>
          <c:spPr>
            <a:solidFill>
              <a:schemeClr val="accent1"/>
            </a:solidFill>
            <a:ln>
              <a:noFill/>
            </a:ln>
            <a:effectLst/>
            <a:sp3d/>
          </c:spPr>
          <c:invertIfNegative val="0"/>
          <c:cat>
            <c:strRef>
              <c:extLst>
                <c:ext xmlns:c15="http://schemas.microsoft.com/office/drawing/2012/chart" uri="{02D57815-91ED-43cb-92C2-25804820EDAC}">
                  <c15:fullRef>
                    <c15:sqref>'GESTIÓN INTEGRAL SST-IND1 2021'!$C$8:$Y$8</c15:sqref>
                  </c15:fullRef>
                </c:ext>
              </c:extLst>
              <c:f>'GESTIÓN INTEGRAL SST-IND1 2021'!$Y$8</c:f>
              <c:strCache>
                <c:ptCount val="1"/>
                <c:pt idx="0">
                  <c:v>AUSENTISTMO POR CAUSA MEDICA 
%</c:v>
                </c:pt>
              </c:strCache>
            </c:strRef>
          </c:cat>
          <c:val>
            <c:numRef>
              <c:extLst>
                <c:ext xmlns:c15="http://schemas.microsoft.com/office/drawing/2012/chart" uri="{02D57815-91ED-43cb-92C2-25804820EDAC}">
                  <c15:fullRef>
                    <c15:sqref>'GESTIÓN INTEGRAL SST-IND1 2021'!$C$9:$Y$9</c15:sqref>
                  </c15:fullRef>
                </c:ext>
              </c:extLst>
              <c:f>'GESTIÓN INTEGRAL SST-IND1 2021'!$Y$9</c:f>
              <c:numCache>
                <c:formatCode>General</c:formatCode>
                <c:ptCount val="1"/>
                <c:pt idx="0" formatCode="0.00">
                  <c:v>1.3259668508287292</c:v>
                </c:pt>
              </c:numCache>
            </c:numRef>
          </c:val>
          <c:extLst>
            <c:ext xmlns:c16="http://schemas.microsoft.com/office/drawing/2014/chart" uri="{C3380CC4-5D6E-409C-BE32-E72D297353CC}">
              <c16:uniqueId val="{00000000-EB62-488C-9A52-19FE96ED5256}"/>
            </c:ext>
          </c:extLst>
        </c:ser>
        <c:ser>
          <c:idx val="1"/>
          <c:order val="1"/>
          <c:tx>
            <c:strRef>
              <c:f>'GESTIÓN INTEGRAL SST-IND1 2021'!$A$10:$B$10</c:f>
              <c:strCache>
                <c:ptCount val="2"/>
                <c:pt idx="0">
                  <c:v>FEBRERO 2021</c:v>
                </c:pt>
                <c:pt idx="1">
                  <c:v>25</c:v>
                </c:pt>
              </c:strCache>
            </c:strRef>
          </c:tx>
          <c:spPr>
            <a:solidFill>
              <a:schemeClr val="accent2"/>
            </a:solidFill>
            <a:ln>
              <a:noFill/>
            </a:ln>
            <a:effectLst/>
            <a:sp3d/>
          </c:spPr>
          <c:invertIfNegative val="0"/>
          <c:cat>
            <c:strRef>
              <c:extLst>
                <c:ext xmlns:c15="http://schemas.microsoft.com/office/drawing/2012/chart" uri="{02D57815-91ED-43cb-92C2-25804820EDAC}">
                  <c15:fullRef>
                    <c15:sqref>'GESTIÓN INTEGRAL SST-IND1 2021'!$C$8:$Y$8</c15:sqref>
                  </c15:fullRef>
                </c:ext>
              </c:extLst>
              <c:f>'GESTIÓN INTEGRAL SST-IND1 2021'!$Y$8</c:f>
              <c:strCache>
                <c:ptCount val="1"/>
                <c:pt idx="0">
                  <c:v>AUSENTISTMO POR CAUSA MEDICA 
%</c:v>
                </c:pt>
              </c:strCache>
            </c:strRef>
          </c:cat>
          <c:val>
            <c:numRef>
              <c:extLst>
                <c:ext xmlns:c15="http://schemas.microsoft.com/office/drawing/2012/chart" uri="{02D57815-91ED-43cb-92C2-25804820EDAC}">
                  <c15:fullRef>
                    <c15:sqref>'GESTIÓN INTEGRAL SST-IND1 2021'!$C$10:$Y$10</c15:sqref>
                  </c15:fullRef>
                </c:ext>
              </c:extLst>
              <c:f>'GESTIÓN INTEGRAL SST-IND1 2021'!$Y$10</c:f>
              <c:numCache>
                <c:formatCode>General</c:formatCode>
                <c:ptCount val="1"/>
                <c:pt idx="0" formatCode="0.00">
                  <c:v>1.8444444444444443</c:v>
                </c:pt>
              </c:numCache>
            </c:numRef>
          </c:val>
          <c:extLst>
            <c:ext xmlns:c16="http://schemas.microsoft.com/office/drawing/2014/chart" uri="{C3380CC4-5D6E-409C-BE32-E72D297353CC}">
              <c16:uniqueId val="{00000001-EB62-488C-9A52-19FE96ED5256}"/>
            </c:ext>
          </c:extLst>
        </c:ser>
        <c:ser>
          <c:idx val="2"/>
          <c:order val="2"/>
          <c:tx>
            <c:strRef>
              <c:f>'GESTIÓN INTEGRAL SST-IND1 2021'!$A$11:$B$11</c:f>
              <c:strCache>
                <c:ptCount val="2"/>
                <c:pt idx="0">
                  <c:v>MARZO 2021</c:v>
                </c:pt>
                <c:pt idx="1">
                  <c:v>25</c:v>
                </c:pt>
              </c:strCache>
            </c:strRef>
          </c:tx>
          <c:spPr>
            <a:solidFill>
              <a:schemeClr val="accent3"/>
            </a:solidFill>
            <a:ln>
              <a:noFill/>
            </a:ln>
            <a:effectLst/>
            <a:sp3d/>
          </c:spPr>
          <c:invertIfNegative val="0"/>
          <c:cat>
            <c:strRef>
              <c:extLst>
                <c:ext xmlns:c15="http://schemas.microsoft.com/office/drawing/2012/chart" uri="{02D57815-91ED-43cb-92C2-25804820EDAC}">
                  <c15:fullRef>
                    <c15:sqref>'GESTIÓN INTEGRAL SST-IND1 2021'!$C$8:$Y$8</c15:sqref>
                  </c15:fullRef>
                </c:ext>
              </c:extLst>
              <c:f>'GESTIÓN INTEGRAL SST-IND1 2021'!$Y$8</c:f>
              <c:strCache>
                <c:ptCount val="1"/>
                <c:pt idx="0">
                  <c:v>AUSENTISTMO POR CAUSA MEDICA 
%</c:v>
                </c:pt>
              </c:strCache>
            </c:strRef>
          </c:cat>
          <c:val>
            <c:numRef>
              <c:extLst>
                <c:ext xmlns:c15="http://schemas.microsoft.com/office/drawing/2012/chart" uri="{02D57815-91ED-43cb-92C2-25804820EDAC}">
                  <c15:fullRef>
                    <c15:sqref>'GESTIÓN INTEGRAL SST-IND1 2021'!$C$11:$Y$11</c15:sqref>
                  </c15:fullRef>
                </c:ext>
              </c:extLst>
              <c:f>'GESTIÓN INTEGRAL SST-IND1 2021'!$Y$11</c:f>
              <c:numCache>
                <c:formatCode>General</c:formatCode>
                <c:ptCount val="1"/>
                <c:pt idx="0" formatCode="0.00">
                  <c:v>0.73743016759776536</c:v>
                </c:pt>
              </c:numCache>
            </c:numRef>
          </c:val>
          <c:extLst>
            <c:ext xmlns:c16="http://schemas.microsoft.com/office/drawing/2014/chart" uri="{C3380CC4-5D6E-409C-BE32-E72D297353CC}">
              <c16:uniqueId val="{00000002-EB62-488C-9A52-19FE96ED5256}"/>
            </c:ext>
          </c:extLst>
        </c:ser>
        <c:dLbls>
          <c:showLegendKey val="0"/>
          <c:showVal val="0"/>
          <c:showCatName val="0"/>
          <c:showSerName val="0"/>
          <c:showPercent val="0"/>
          <c:showBubbleSize val="0"/>
        </c:dLbls>
        <c:gapWidth val="150"/>
        <c:shape val="box"/>
        <c:axId val="212263144"/>
        <c:axId val="212265496"/>
        <c:axId val="0"/>
      </c:bar3DChart>
      <c:catAx>
        <c:axId val="212263144"/>
        <c:scaling>
          <c:orientation val="minMax"/>
        </c:scaling>
        <c:delete val="1"/>
        <c:axPos val="b"/>
        <c:numFmt formatCode="General" sourceLinked="1"/>
        <c:majorTickMark val="none"/>
        <c:minorTickMark val="none"/>
        <c:tickLblPos val="nextTo"/>
        <c:crossAx val="212265496"/>
        <c:crosses val="autoZero"/>
        <c:auto val="1"/>
        <c:lblAlgn val="ctr"/>
        <c:lblOffset val="100"/>
        <c:noMultiLvlLbl val="0"/>
      </c:catAx>
      <c:valAx>
        <c:axId val="2122654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2263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SEVERIDAD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18"/>
          <c:order val="18"/>
          <c:tx>
            <c:strRef>
              <c:f>'GESTIÓN INTEGRAL SST-IND1 2021'!$U$8</c:f>
              <c:strCache>
                <c:ptCount val="1"/>
                <c:pt idx="0">
                  <c:v>SEVERIDAD DE AT
%</c:v>
                </c:pt>
              </c:strCache>
            </c:strRef>
          </c:tx>
          <c:spPr>
            <a:solidFill>
              <a:schemeClr val="accent1">
                <a:lumMod val="80000"/>
              </a:schemeClr>
            </a:solidFill>
            <a:ln>
              <a:noFill/>
            </a:ln>
            <a:effectLst/>
            <a:sp3d/>
          </c:spPr>
          <c:invertIfNegative val="0"/>
          <c:cat>
            <c:multiLvlStrRef>
              <c:f>'GESTIÓN INTEGRAL SST-IND1 2021'!$A$9:$B$11</c:f>
              <c:multiLvlStrCache>
                <c:ptCount val="3"/>
                <c:lvl>
                  <c:pt idx="0">
                    <c:v>25</c:v>
                  </c:pt>
                  <c:pt idx="1">
                    <c:v>25</c:v>
                  </c:pt>
                  <c:pt idx="2">
                    <c:v>25</c:v>
                  </c:pt>
                </c:lvl>
                <c:lvl>
                  <c:pt idx="0">
                    <c:v>ENERO 2021</c:v>
                  </c:pt>
                  <c:pt idx="1">
                    <c:v>FEBRERO 2021</c:v>
                  </c:pt>
                  <c:pt idx="2">
                    <c:v>MARZO 2021</c:v>
                  </c:pt>
                </c:lvl>
              </c:multiLvlStrCache>
            </c:multiLvlStrRef>
          </c:cat>
          <c:val>
            <c:numRef>
              <c:f>'GESTIÓN INTEGRAL SST-IND1 2021'!$U$9:$U$11</c:f>
              <c:numCache>
                <c:formatCode>0.0</c:formatCode>
                <c:ptCount val="3"/>
                <c:pt idx="0">
                  <c:v>2.2099447513812152</c:v>
                </c:pt>
                <c:pt idx="1">
                  <c:v>1.6666666666666667</c:v>
                </c:pt>
                <c:pt idx="2">
                  <c:v>0</c:v>
                </c:pt>
              </c:numCache>
            </c:numRef>
          </c:val>
          <c:extLst>
            <c:ext xmlns:c16="http://schemas.microsoft.com/office/drawing/2014/chart" uri="{C3380CC4-5D6E-409C-BE32-E72D297353CC}">
              <c16:uniqueId val="{00000000-273B-45DF-A71A-894ECFDF1EBD}"/>
            </c:ext>
          </c:extLst>
        </c:ser>
        <c:dLbls>
          <c:showLegendKey val="0"/>
          <c:showVal val="0"/>
          <c:showCatName val="0"/>
          <c:showSerName val="0"/>
          <c:showPercent val="0"/>
          <c:showBubbleSize val="0"/>
        </c:dLbls>
        <c:gapWidth val="150"/>
        <c:shape val="box"/>
        <c:axId val="212262360"/>
        <c:axId val="212263536"/>
        <c:axId val="0"/>
        <c:extLst>
          <c:ext xmlns:c15="http://schemas.microsoft.com/office/drawing/2012/chart" uri="{02D57815-91ED-43cb-92C2-25804820EDAC}">
            <c15:filteredBarSeries>
              <c15:ser>
                <c:idx val="0"/>
                <c:order val="0"/>
                <c:tx>
                  <c:strRef>
                    <c:extLst>
                      <c:ext uri="{02D57815-91ED-43cb-92C2-25804820EDAC}">
                        <c15:formulaRef>
                          <c15:sqref>'GESTIÓN INTEGRAL SST-IND1 2021'!$C$8</c15:sqref>
                        </c15:formulaRef>
                      </c:ext>
                    </c:extLst>
                    <c:strCache>
                      <c:ptCount val="1"/>
                      <c:pt idx="0">
                        <c:v>Nº TRABAJADORES</c:v>
                      </c:pt>
                    </c:strCache>
                  </c:strRef>
                </c:tx>
                <c:spPr>
                  <a:solidFill>
                    <a:schemeClr val="accent1"/>
                  </a:solidFill>
                  <a:ln>
                    <a:noFill/>
                  </a:ln>
                  <a:effectLst/>
                  <a:sp3d/>
                </c:spPr>
                <c:invertIfNegative val="0"/>
                <c:cat>
                  <c:multiLvlStrRef>
                    <c:extLst>
                      <c:ex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c:ext uri="{02D57815-91ED-43cb-92C2-25804820EDAC}">
                        <c15:formulaRef>
                          <c15:sqref>'GESTIÓN INTEGRAL SST-IND1 2021'!$C$9:$C$11</c15:sqref>
                        </c15:formulaRef>
                      </c:ext>
                    </c:extLst>
                    <c:numCache>
                      <c:formatCode>General</c:formatCode>
                      <c:ptCount val="3"/>
                      <c:pt idx="0">
                        <c:v>181</c:v>
                      </c:pt>
                      <c:pt idx="1">
                        <c:v>180</c:v>
                      </c:pt>
                      <c:pt idx="2">
                        <c:v>179</c:v>
                      </c:pt>
                    </c:numCache>
                  </c:numRef>
                </c:val>
                <c:extLst>
                  <c:ext xmlns:c16="http://schemas.microsoft.com/office/drawing/2014/chart" uri="{C3380CC4-5D6E-409C-BE32-E72D297353CC}">
                    <c16:uniqueId val="{00000001-273B-45DF-A71A-894ECFDF1EBD}"/>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'GESTIÓN INTEGRAL SST-IND1 2021'!$D$8</c15:sqref>
                        </c15:formulaRef>
                      </c:ext>
                    </c:extLst>
                    <c:strCache>
                      <c:ptCount val="1"/>
                      <c:pt idx="0">
                        <c:v>Nº AT NO MORTALES MES</c:v>
                      </c:pt>
                    </c:strCache>
                  </c:strRef>
                </c:tx>
                <c:spPr>
                  <a:solidFill>
                    <a:schemeClr val="accent2"/>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2021'!$D$9:$D$11</c15:sqref>
                        </c15:formulaRef>
                      </c:ext>
                    </c:extLst>
                    <c:numCache>
                      <c:formatCode>General</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73B-45DF-A71A-894ECFDF1EBD}"/>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'GESTIÓN INTEGRAL SST-IND1 2021'!$E$8</c15:sqref>
                        </c15:formulaRef>
                      </c:ext>
                    </c:extLst>
                    <c:strCache>
                      <c:ptCount val="1"/>
                      <c:pt idx="0">
                        <c:v>Nº AT MORTALES MES</c:v>
                      </c:pt>
                    </c:strCache>
                  </c:strRef>
                </c:tx>
                <c:spPr>
                  <a:solidFill>
                    <a:schemeClr val="accent3"/>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2021'!$E$9:$E$11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3-273B-45DF-A71A-894ECFDF1EBD}"/>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'GESTIÓN INTEGRAL SST-IND1 2021'!$F$8</c15:sqref>
                        </c15:formulaRef>
                      </c:ext>
                    </c:extLst>
                    <c:strCache>
                      <c:ptCount val="1"/>
                      <c:pt idx="0">
                        <c:v>Nº TOTAL DE AT MES</c:v>
                      </c:pt>
                    </c:strCache>
                  </c:strRef>
                </c:tx>
                <c:spPr>
                  <a:solidFill>
                    <a:schemeClr val="accent4"/>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2021'!$F$9:$F$11</c15:sqref>
                        </c15:formulaRef>
                      </c:ext>
                    </c:extLst>
                    <c:numCache>
                      <c:formatCode>General</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4-273B-45DF-A71A-894ECFDF1EBD}"/>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'GESTIÓN INTEGRAL SST-IND1 2021'!$G$8</c15:sqref>
                        </c15:formulaRef>
                      </c:ext>
                    </c:extLst>
                    <c:strCache>
                      <c:ptCount val="1"/>
                      <c:pt idx="0">
                        <c:v>Nº TOTAL DE AT CON INCAPACIDAD EN EL MES</c:v>
                      </c:pt>
                    </c:strCache>
                  </c:strRef>
                </c:tx>
                <c:spPr>
                  <a:solidFill>
                    <a:schemeClr val="accent5"/>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2021'!$G$9:$G$11</c15:sqref>
                        </c15:formulaRef>
                      </c:ext>
                    </c:extLst>
                    <c:numCache>
                      <c:formatCode>General</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5-273B-45DF-A71A-894ECFDF1EBD}"/>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'GESTIÓN INTEGRAL SST-IND1 2021'!$H$8</c15:sqref>
                        </c15:formulaRef>
                      </c:ext>
                    </c:extLst>
                    <c:strCache>
                      <c:ptCount val="1"/>
                      <c:pt idx="0">
                        <c:v>DIAS DE INCAPACIDAD</c:v>
                      </c:pt>
                    </c:strCache>
                  </c:strRef>
                </c:tx>
                <c:spPr>
                  <a:solidFill>
                    <a:schemeClr val="accent6"/>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2021'!$H$9:$H$11</c15:sqref>
                        </c15:formulaRef>
                      </c:ext>
                    </c:extLst>
                    <c:numCache>
                      <c:formatCode>General</c:formatCode>
                      <c:ptCount val="3"/>
                      <c:pt idx="0">
                        <c:v>2</c:v>
                      </c:pt>
                      <c:pt idx="1">
                        <c:v>3</c:v>
                      </c:pt>
                      <c:pt idx="2">
                        <c:v>0</c:v>
                      </c:pt>
                    </c:numCache>
                  </c:numRef>
                </c:val>
                <c:extLst xmlns:c15="http://schemas.microsoft.com/office/drawing/2012/chart">
                  <c:ext xmlns:c16="http://schemas.microsoft.com/office/drawing/2014/chart" uri="{C3380CC4-5D6E-409C-BE32-E72D297353CC}">
                    <c16:uniqueId val="{00000006-273B-45DF-A71A-894ECFDF1EBD}"/>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'GESTIÓN INTEGRAL SST-IND1 2021'!$I$8</c15:sqref>
                        </c15:formulaRef>
                      </c:ext>
                    </c:extLst>
                    <c:strCache>
                      <c:ptCount val="1"/>
                      <c:pt idx="0">
                        <c:v>DIAS PRORROGA</c:v>
                      </c:pt>
                    </c:strCache>
                  </c:strRef>
                </c:tx>
                <c:spPr>
                  <a:solidFill>
                    <a:schemeClr val="accent1">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2021'!$I$9:$I$11</c15:sqref>
                        </c15:formulaRef>
                      </c:ext>
                    </c:extLst>
                    <c:numCache>
                      <c:formatCode>General</c:formatCode>
                      <c:ptCount val="3"/>
                      <c:pt idx="0">
                        <c:v>2</c:v>
                      </c:pt>
                      <c:pt idx="1">
                        <c:v>0</c:v>
                      </c:pt>
                      <c:pt idx="2">
                        <c:v>0</c:v>
                      </c:pt>
                    </c:numCache>
                  </c:numRef>
                </c:val>
                <c:extLst xmlns:c15="http://schemas.microsoft.com/office/drawing/2012/chart">
                  <c:ext xmlns:c16="http://schemas.microsoft.com/office/drawing/2014/chart" uri="{C3380CC4-5D6E-409C-BE32-E72D297353CC}">
                    <c16:uniqueId val="{00000007-273B-45DF-A71A-894ECFDF1EBD}"/>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'GESTIÓN INTEGRAL SST-IND1 2021'!$J$8</c15:sqref>
                        </c15:formulaRef>
                      </c:ext>
                    </c:extLst>
                    <c:strCache>
                      <c:ptCount val="1"/>
                      <c:pt idx="0">
                        <c:v>TOTAL DIAS INCAPACIDAD</c:v>
                      </c:pt>
                    </c:strCache>
                  </c:strRef>
                </c:tx>
                <c:spPr>
                  <a:solidFill>
                    <a:schemeClr val="accent2">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2021'!$J$9:$J$11</c15:sqref>
                        </c15:formulaRef>
                      </c:ext>
                    </c:extLst>
                    <c:numCache>
                      <c:formatCode>General</c:formatCode>
                      <c:ptCount val="3"/>
                      <c:pt idx="0">
                        <c:v>4</c:v>
                      </c:pt>
                      <c:pt idx="1">
                        <c:v>3</c:v>
                      </c:pt>
                      <c:pt idx="2">
                        <c:v>0</c:v>
                      </c:pt>
                    </c:numCache>
                  </c:numRef>
                </c:val>
                <c:extLst xmlns:c15="http://schemas.microsoft.com/office/drawing/2012/chart">
                  <c:ext xmlns:c16="http://schemas.microsoft.com/office/drawing/2014/chart" uri="{C3380CC4-5D6E-409C-BE32-E72D297353CC}">
                    <c16:uniqueId val="{00000008-273B-45DF-A71A-894ECFDF1EBD}"/>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'GESTIÓN INTEGRAL SST-IND1 2021'!$K$8</c15:sqref>
                        </c15:formulaRef>
                      </c:ext>
                    </c:extLst>
                    <c:strCache>
                      <c:ptCount val="1"/>
                      <c:pt idx="0">
                        <c:v>Nº DIAS CARGADOS
AT</c:v>
                      </c:pt>
                    </c:strCache>
                  </c:strRef>
                </c:tx>
                <c:spPr>
                  <a:solidFill>
                    <a:schemeClr val="accent3">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2021'!$K$9:$K$11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9-273B-45DF-A71A-894ECFDF1EBD}"/>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'GESTIÓN INTEGRAL SST-IND1 2021'!$L$8</c15:sqref>
                        </c15:formulaRef>
                      </c:ext>
                    </c:extLst>
                    <c:strCache>
                      <c:ptCount val="1"/>
                      <c:pt idx="0">
                        <c:v>Nº DE EL ANTIGUAS EN EL PERIODO</c:v>
                      </c:pt>
                    </c:strCache>
                  </c:strRef>
                </c:tx>
                <c:spPr>
                  <a:solidFill>
                    <a:schemeClr val="accent4">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2021'!$L$9:$L$11</c15:sqref>
                        </c15:formulaRef>
                      </c:ext>
                    </c:extLst>
                    <c:numCache>
                      <c:formatCode>General</c:formatCode>
                      <c:ptCount val="3"/>
                      <c:pt idx="0">
                        <c:v>3</c:v>
                      </c:pt>
                      <c:pt idx="1">
                        <c:v>3</c:v>
                      </c:pt>
                      <c:pt idx="2">
                        <c:v>3</c:v>
                      </c:pt>
                    </c:numCache>
                  </c:numRef>
                </c:val>
                <c:extLst xmlns:c15="http://schemas.microsoft.com/office/drawing/2012/chart">
                  <c:ext xmlns:c16="http://schemas.microsoft.com/office/drawing/2014/chart" uri="{C3380CC4-5D6E-409C-BE32-E72D297353CC}">
                    <c16:uniqueId val="{0000000A-273B-45DF-A71A-894ECFDF1EBD}"/>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'GESTIÓN INTEGRAL SST-IND1 2021'!$M$8</c15:sqref>
                        </c15:formulaRef>
                      </c:ext>
                    </c:extLst>
                    <c:strCache>
                      <c:ptCount val="1"/>
                      <c:pt idx="0">
                        <c:v>Nº DE EL NUEVAS EN EL PERIODO</c:v>
                      </c:pt>
                    </c:strCache>
                  </c:strRef>
                </c:tx>
                <c:spPr>
                  <a:solidFill>
                    <a:schemeClr val="accent5">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2021'!$M$9:$M$11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B-273B-45DF-A71A-894ECFDF1EBD}"/>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'GESTIÓN INTEGRAL SST-IND1 2021'!$N$8</c15:sqref>
                        </c15:formulaRef>
                      </c:ext>
                    </c:extLst>
                    <c:strCache>
                      <c:ptCount val="1"/>
                      <c:pt idx="0">
                        <c:v>TOTAL DE EL EN EL PERIODO</c:v>
                      </c:pt>
                    </c:strCache>
                  </c:strRef>
                </c:tx>
                <c:spPr>
                  <a:solidFill>
                    <a:schemeClr val="accent6">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2021'!$N$9:$N$11</c15:sqref>
                        </c15:formulaRef>
                      </c:ext>
                    </c:extLst>
                    <c:numCache>
                      <c:formatCode>General</c:formatCode>
                      <c:ptCount val="3"/>
                      <c:pt idx="0">
                        <c:v>3</c:v>
                      </c:pt>
                      <c:pt idx="1">
                        <c:v>3</c:v>
                      </c:pt>
                      <c:pt idx="2">
                        <c:v>3</c:v>
                      </c:pt>
                    </c:numCache>
                  </c:numRef>
                </c:val>
                <c:extLst xmlns:c15="http://schemas.microsoft.com/office/drawing/2012/chart">
                  <c:ext xmlns:c16="http://schemas.microsoft.com/office/drawing/2014/chart" uri="{C3380CC4-5D6E-409C-BE32-E72D297353CC}">
                    <c16:uniqueId val="{0000000C-273B-45DF-A71A-894ECFDF1EBD}"/>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'GESTIÓN INTEGRAL SST-IND1 2021'!$O$8</c15:sqref>
                        </c15:formulaRef>
                      </c:ext>
                    </c:extLst>
                    <c:strCache>
                      <c:ptCount val="1"/>
                      <c:pt idx="0">
                        <c:v>TOTAL PERSONAS CON INCAPACIDAD POR EG  EN EL MES</c:v>
                      </c:pt>
                    </c:strCache>
                  </c:strRef>
                </c:tx>
                <c:spPr>
                  <a:solidFill>
                    <a:schemeClr val="accent1">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2021'!$O$9:$O$11</c15:sqref>
                        </c15:formulaRef>
                      </c:ext>
                    </c:extLst>
                    <c:numCache>
                      <c:formatCode>General</c:formatCode>
                      <c:ptCount val="3"/>
                      <c:pt idx="0">
                        <c:v>6</c:v>
                      </c:pt>
                      <c:pt idx="1">
                        <c:v>6</c:v>
                      </c:pt>
                      <c:pt idx="2">
                        <c:v>2</c:v>
                      </c:pt>
                    </c:numCache>
                  </c:numRef>
                </c:val>
                <c:extLst xmlns:c15="http://schemas.microsoft.com/office/drawing/2012/chart">
                  <c:ext xmlns:c16="http://schemas.microsoft.com/office/drawing/2014/chart" uri="{C3380CC4-5D6E-409C-BE32-E72D297353CC}">
                    <c16:uniqueId val="{0000000D-273B-45DF-A71A-894ECFDF1EBD}"/>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'GESTIÓN INTEGRAL SST-IND1 2021'!$P$8</c15:sqref>
                        </c15:formulaRef>
                      </c:ext>
                    </c:extLst>
                    <c:strCache>
                      <c:ptCount val="1"/>
                      <c:pt idx="0">
                        <c:v>DIAS DE INCAPACIDAD</c:v>
                      </c:pt>
                    </c:strCache>
                  </c:strRef>
                </c:tx>
                <c:spPr>
                  <a:solidFill>
                    <a:schemeClr val="accent2">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2021'!$P$9:$P$11</c15:sqref>
                        </c15:formulaRef>
                      </c:ext>
                    </c:extLst>
                    <c:numCache>
                      <c:formatCode>General</c:formatCode>
                      <c:ptCount val="3"/>
                      <c:pt idx="0">
                        <c:v>52</c:v>
                      </c:pt>
                      <c:pt idx="1">
                        <c:v>77</c:v>
                      </c:pt>
                      <c:pt idx="2">
                        <c:v>33</c:v>
                      </c:pt>
                    </c:numCache>
                  </c:numRef>
                </c:val>
                <c:extLst xmlns:c15="http://schemas.microsoft.com/office/drawing/2012/chart">
                  <c:ext xmlns:c16="http://schemas.microsoft.com/office/drawing/2014/chart" uri="{C3380CC4-5D6E-409C-BE32-E72D297353CC}">
                    <c16:uniqueId val="{0000000E-273B-45DF-A71A-894ECFDF1EBD}"/>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'GESTIÓN INTEGRAL SST-IND1 2021'!$Q$8</c15:sqref>
                        </c15:formulaRef>
                      </c:ext>
                    </c:extLst>
                    <c:strCache>
                      <c:ptCount val="1"/>
                      <c:pt idx="0">
                        <c:v>DIAS PRORROGA</c:v>
                      </c:pt>
                    </c:strCache>
                  </c:strRef>
                </c:tx>
                <c:spPr>
                  <a:solidFill>
                    <a:schemeClr val="accent3">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2021'!$Q$9:$Q$11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F-273B-45DF-A71A-894ECFDF1EBD}"/>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'GESTIÓN INTEGRAL SST-IND1 2021'!$R$8</c15:sqref>
                        </c15:formulaRef>
                      </c:ext>
                    </c:extLst>
                    <c:strCache>
                      <c:ptCount val="1"/>
                      <c:pt idx="0">
                        <c:v>TOTAL DIAS INCAPACIDAD</c:v>
                      </c:pt>
                    </c:strCache>
                  </c:strRef>
                </c:tx>
                <c:spPr>
                  <a:solidFill>
                    <a:schemeClr val="accent4">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2021'!$R$9:$R$11</c15:sqref>
                        </c15:formulaRef>
                      </c:ext>
                    </c:extLst>
                    <c:numCache>
                      <c:formatCode>General</c:formatCode>
                      <c:ptCount val="3"/>
                      <c:pt idx="0">
                        <c:v>52</c:v>
                      </c:pt>
                      <c:pt idx="1">
                        <c:v>77</c:v>
                      </c:pt>
                      <c:pt idx="2">
                        <c:v>33</c:v>
                      </c:pt>
                    </c:numCache>
                  </c:numRef>
                </c:val>
                <c:extLst xmlns:c15="http://schemas.microsoft.com/office/drawing/2012/chart">
                  <c:ext xmlns:c16="http://schemas.microsoft.com/office/drawing/2014/chart" uri="{C3380CC4-5D6E-409C-BE32-E72D297353CC}">
                    <c16:uniqueId val="{00000010-273B-45DF-A71A-894ECFDF1EBD}"/>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'GESTIÓN INTEGRAL SST-IND1 2021'!$S$8</c15:sqref>
                        </c15:formulaRef>
                      </c:ext>
                    </c:extLst>
                    <c:strCache>
                      <c:ptCount val="1"/>
                      <c:pt idx="0">
                        <c:v>TOTAL DE DIAS DE AUSENCIA POR AT Y EG</c:v>
                      </c:pt>
                    </c:strCache>
                  </c:strRef>
                </c:tx>
                <c:spPr>
                  <a:solidFill>
                    <a:schemeClr val="accent5">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2021'!$S$9:$S$11</c15:sqref>
                        </c15:formulaRef>
                      </c:ext>
                    </c:extLst>
                    <c:numCache>
                      <c:formatCode>General</c:formatCode>
                      <c:ptCount val="3"/>
                      <c:pt idx="0">
                        <c:v>56</c:v>
                      </c:pt>
                      <c:pt idx="1">
                        <c:v>80</c:v>
                      </c:pt>
                      <c:pt idx="2">
                        <c:v>33</c:v>
                      </c:pt>
                    </c:numCache>
                  </c:numRef>
                </c:val>
                <c:extLst xmlns:c15="http://schemas.microsoft.com/office/drawing/2012/chart">
                  <c:ext xmlns:c16="http://schemas.microsoft.com/office/drawing/2014/chart" uri="{C3380CC4-5D6E-409C-BE32-E72D297353CC}">
                    <c16:uniqueId val="{00000011-273B-45DF-A71A-894ECFDF1EBD}"/>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'GESTIÓN INTEGRAL SST-IND1 2021'!$T$8</c15:sqref>
                        </c15:formulaRef>
                      </c:ext>
                    </c:extLst>
                    <c:strCache>
                      <c:ptCount val="1"/>
                      <c:pt idx="0">
                        <c:v>FRECUENCIA DE AT
%</c:v>
                      </c:pt>
                    </c:strCache>
                  </c:strRef>
                </c:tx>
                <c:spPr>
                  <a:solidFill>
                    <a:schemeClr val="accent6">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2021'!$T$9:$T$11</c15:sqref>
                        </c15:formulaRef>
                      </c:ext>
                    </c:extLst>
                    <c:numCache>
                      <c:formatCode>0.00</c:formatCode>
                      <c:ptCount val="3"/>
                      <c:pt idx="0">
                        <c:v>0.55248618784530379</c:v>
                      </c:pt>
                      <c:pt idx="1">
                        <c:v>0</c:v>
                      </c:pt>
                      <c:pt idx="2">
                        <c:v>0</c:v>
                      </c:pt>
                    </c:numCache>
                  </c:numRef>
                </c:val>
                <c:extLst xmlns:c15="http://schemas.microsoft.com/office/drawing/2012/chart">
                  <c:ext xmlns:c16="http://schemas.microsoft.com/office/drawing/2014/chart" uri="{C3380CC4-5D6E-409C-BE32-E72D297353CC}">
                    <c16:uniqueId val="{00000012-273B-45DF-A71A-894ECFDF1EBD}"/>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'GESTIÓN INTEGRAL SST-IND1 2021'!$V$8</c15:sqref>
                        </c15:formulaRef>
                      </c:ext>
                    </c:extLst>
                    <c:strCache>
                      <c:ptCount val="1"/>
                      <c:pt idx="0">
                        <c:v>PROPORCION DE AT MORTALES</c:v>
                      </c:pt>
                    </c:strCache>
                  </c:strRef>
                </c:tx>
                <c:spPr>
                  <a:solidFill>
                    <a:schemeClr val="accent2">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2021'!$V$9:$V$11</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13-273B-45DF-A71A-894ECFDF1EBD}"/>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'GESTIÓN INTEGRAL SST-IND1 2021'!$W$8</c15:sqref>
                        </c15:formulaRef>
                      </c:ext>
                    </c:extLst>
                    <c:strCache>
                      <c:ptCount val="1"/>
                      <c:pt idx="0">
                        <c:v>PREVALENCIA DE LA EL</c:v>
                      </c:pt>
                    </c:strCache>
                  </c:strRef>
                </c:tx>
                <c:spPr>
                  <a:solidFill>
                    <a:schemeClr val="accent3">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2021'!$W$9:$W$11</c15:sqref>
                        </c15:formulaRef>
                      </c:ext>
                    </c:extLst>
                    <c:numCache>
                      <c:formatCode>0.00</c:formatCode>
                      <c:ptCount val="3"/>
                      <c:pt idx="0">
                        <c:v>1.6574585635359116</c:v>
                      </c:pt>
                      <c:pt idx="1">
                        <c:v>1.6666666666666667</c:v>
                      </c:pt>
                      <c:pt idx="2">
                        <c:v>1.6759776536312849</c:v>
                      </c:pt>
                    </c:numCache>
                  </c:numRef>
                </c:val>
                <c:extLst xmlns:c15="http://schemas.microsoft.com/office/drawing/2012/chart">
                  <c:ext xmlns:c16="http://schemas.microsoft.com/office/drawing/2014/chart" uri="{C3380CC4-5D6E-409C-BE32-E72D297353CC}">
                    <c16:uniqueId val="{00000014-273B-45DF-A71A-894ECFDF1EBD}"/>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'GESTIÓN INTEGRAL SST-IND1 2021'!$X$8</c15:sqref>
                        </c15:formulaRef>
                      </c:ext>
                    </c:extLst>
                    <c:strCache>
                      <c:ptCount val="1"/>
                      <c:pt idx="0">
                        <c:v>INCIDENCIA DE LA EL</c:v>
                      </c:pt>
                    </c:strCache>
                  </c:strRef>
                </c:tx>
                <c:spPr>
                  <a:solidFill>
                    <a:schemeClr val="accent4">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2021'!$X$9:$X$11</c15:sqref>
                        </c15:formulaRef>
                      </c:ext>
                    </c:extLst>
                    <c:numCache>
                      <c:formatCode>0.00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15-273B-45DF-A71A-894ECFDF1EBD}"/>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'GESTIÓN INTEGRAL SST-IND1 2021'!$Y$8</c15:sqref>
                        </c15:formulaRef>
                      </c:ext>
                    </c:extLst>
                    <c:strCache>
                      <c:ptCount val="1"/>
                      <c:pt idx="0">
                        <c:v>AUSENTISTMO POR CAUSA MEDICA 
%</c:v>
                      </c:pt>
                    </c:strCache>
                  </c:strRef>
                </c:tx>
                <c:spPr>
                  <a:solidFill>
                    <a:schemeClr val="accent5">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2021'!$Y$9:$Y$11</c15:sqref>
                        </c15:formulaRef>
                      </c:ext>
                    </c:extLst>
                    <c:numCache>
                      <c:formatCode>0.00</c:formatCode>
                      <c:ptCount val="3"/>
                      <c:pt idx="0">
                        <c:v>1.3259668508287292</c:v>
                      </c:pt>
                      <c:pt idx="1">
                        <c:v>1.8444444444444443</c:v>
                      </c:pt>
                      <c:pt idx="2">
                        <c:v>0.73743016759776536</c:v>
                      </c:pt>
                    </c:numCache>
                  </c:numRef>
                </c:val>
                <c:extLst xmlns:c15="http://schemas.microsoft.com/office/drawing/2012/chart">
                  <c:ext xmlns:c16="http://schemas.microsoft.com/office/drawing/2014/chart" uri="{C3380CC4-5D6E-409C-BE32-E72D297353CC}">
                    <c16:uniqueId val="{00000016-273B-45DF-A71A-894ECFDF1EBD}"/>
                  </c:ext>
                </c:extLst>
              </c15:ser>
            </c15:filteredBarSeries>
          </c:ext>
        </c:extLst>
      </c:bar3DChart>
      <c:catAx>
        <c:axId val="212262360"/>
        <c:scaling>
          <c:orientation val="minMax"/>
        </c:scaling>
        <c:delete val="1"/>
        <c:axPos val="b"/>
        <c:numFmt formatCode="General" sourceLinked="1"/>
        <c:majorTickMark val="none"/>
        <c:minorTickMark val="none"/>
        <c:tickLblPos val="nextTo"/>
        <c:crossAx val="212263536"/>
        <c:crosses val="autoZero"/>
        <c:auto val="1"/>
        <c:lblAlgn val="ctr"/>
        <c:lblOffset val="100"/>
        <c:noMultiLvlLbl val="0"/>
      </c:catAx>
      <c:valAx>
        <c:axId val="2122635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2262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FRECUENCIA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17"/>
          <c:order val="17"/>
          <c:tx>
            <c:strRef>
              <c:f>'GESTIÓN INTEGRAL SST-IND1 2021'!$T$8</c:f>
              <c:strCache>
                <c:ptCount val="1"/>
                <c:pt idx="0">
                  <c:v>FRECUENCIA DE AT
%</c:v>
                </c:pt>
              </c:strCache>
            </c:strRef>
          </c:tx>
          <c:spPr>
            <a:solidFill>
              <a:schemeClr val="accent6">
                <a:lumMod val="80000"/>
                <a:lumOff val="20000"/>
              </a:schemeClr>
            </a:solidFill>
            <a:ln>
              <a:noFill/>
            </a:ln>
            <a:effectLst/>
            <a:sp3d/>
          </c:spPr>
          <c:invertIfNegative val="0"/>
          <c:cat>
            <c:multiLvlStrRef>
              <c:f>'GESTIÓN INTEGRAL SST-IND1 2021'!$A$9:$B$11</c:f>
              <c:multiLvlStrCache>
                <c:ptCount val="3"/>
                <c:lvl>
                  <c:pt idx="0">
                    <c:v>25</c:v>
                  </c:pt>
                  <c:pt idx="1">
                    <c:v>25</c:v>
                  </c:pt>
                  <c:pt idx="2">
                    <c:v>25</c:v>
                  </c:pt>
                </c:lvl>
                <c:lvl>
                  <c:pt idx="0">
                    <c:v>ENERO 2021</c:v>
                  </c:pt>
                  <c:pt idx="1">
                    <c:v>FEBRERO 2021</c:v>
                  </c:pt>
                  <c:pt idx="2">
                    <c:v>MARZO 2021</c:v>
                  </c:pt>
                </c:lvl>
              </c:multiLvlStrCache>
            </c:multiLvlStrRef>
          </c:cat>
          <c:val>
            <c:numRef>
              <c:f>'GESTIÓN INTEGRAL SST-IND1 2021'!$T$9:$T$11</c:f>
              <c:numCache>
                <c:formatCode>0.00</c:formatCode>
                <c:ptCount val="3"/>
                <c:pt idx="0">
                  <c:v>0.55248618784530379</c:v>
                </c:pt>
                <c:pt idx="1">
                  <c:v>0</c:v>
                </c:pt>
                <c:pt idx="2">
                  <c:v>0</c:v>
                </c:pt>
              </c:numCache>
            </c:numRef>
          </c:val>
          <c:extLst>
            <c:ext xmlns:c16="http://schemas.microsoft.com/office/drawing/2014/chart" uri="{C3380CC4-5D6E-409C-BE32-E72D297353CC}">
              <c16:uniqueId val="{00000000-775B-4917-8655-6ADCBE767CD9}"/>
            </c:ext>
          </c:extLst>
        </c:ser>
        <c:dLbls>
          <c:showLegendKey val="0"/>
          <c:showVal val="0"/>
          <c:showCatName val="0"/>
          <c:showSerName val="0"/>
          <c:showPercent val="0"/>
          <c:showBubbleSize val="0"/>
        </c:dLbls>
        <c:gapWidth val="150"/>
        <c:shape val="box"/>
        <c:axId val="212267064"/>
        <c:axId val="212268240"/>
        <c:axId val="0"/>
        <c:extLst>
          <c:ext xmlns:c15="http://schemas.microsoft.com/office/drawing/2012/chart" uri="{02D57815-91ED-43cb-92C2-25804820EDAC}">
            <c15:filteredBarSeries>
              <c15:ser>
                <c:idx val="0"/>
                <c:order val="0"/>
                <c:tx>
                  <c:strRef>
                    <c:extLst>
                      <c:ext uri="{02D57815-91ED-43cb-92C2-25804820EDAC}">
                        <c15:formulaRef>
                          <c15:sqref>'GESTIÓN INTEGRAL SST-IND1 2021'!$C$8</c15:sqref>
                        </c15:formulaRef>
                      </c:ext>
                    </c:extLst>
                    <c:strCache>
                      <c:ptCount val="1"/>
                      <c:pt idx="0">
                        <c:v>Nº TRABAJADORES</c:v>
                      </c:pt>
                    </c:strCache>
                  </c:strRef>
                </c:tx>
                <c:spPr>
                  <a:solidFill>
                    <a:schemeClr val="accent1"/>
                  </a:solidFill>
                  <a:ln>
                    <a:noFill/>
                  </a:ln>
                  <a:effectLst/>
                  <a:sp3d/>
                </c:spPr>
                <c:invertIfNegative val="0"/>
                <c:cat>
                  <c:multiLvlStrRef>
                    <c:extLst>
                      <c:ex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c:ext uri="{02D57815-91ED-43cb-92C2-25804820EDAC}">
                        <c15:formulaRef>
                          <c15:sqref>'GESTIÓN INTEGRAL SST-IND1 2021'!$C$9:$C$11</c15:sqref>
                        </c15:formulaRef>
                      </c:ext>
                    </c:extLst>
                    <c:numCache>
                      <c:formatCode>General</c:formatCode>
                      <c:ptCount val="3"/>
                      <c:pt idx="0">
                        <c:v>181</c:v>
                      </c:pt>
                      <c:pt idx="1">
                        <c:v>180</c:v>
                      </c:pt>
                      <c:pt idx="2">
                        <c:v>179</c:v>
                      </c:pt>
                    </c:numCache>
                  </c:numRef>
                </c:val>
                <c:extLst>
                  <c:ext xmlns:c16="http://schemas.microsoft.com/office/drawing/2014/chart" uri="{C3380CC4-5D6E-409C-BE32-E72D297353CC}">
                    <c16:uniqueId val="{00000001-775B-4917-8655-6ADCBE767CD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'GESTIÓN INTEGRAL SST-IND1 2021'!$D$8</c15:sqref>
                        </c15:formulaRef>
                      </c:ext>
                    </c:extLst>
                    <c:strCache>
                      <c:ptCount val="1"/>
                      <c:pt idx="0">
                        <c:v>Nº AT NO MORTALES MES</c:v>
                      </c:pt>
                    </c:strCache>
                  </c:strRef>
                </c:tx>
                <c:spPr>
                  <a:solidFill>
                    <a:schemeClr val="accent2"/>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2021'!$D$9:$D$11</c15:sqref>
                        </c15:formulaRef>
                      </c:ext>
                    </c:extLst>
                    <c:numCache>
                      <c:formatCode>General</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775B-4917-8655-6ADCBE767CD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'GESTIÓN INTEGRAL SST-IND1 2021'!$E$8</c15:sqref>
                        </c15:formulaRef>
                      </c:ext>
                    </c:extLst>
                    <c:strCache>
                      <c:ptCount val="1"/>
                      <c:pt idx="0">
                        <c:v>Nº AT MORTALES MES</c:v>
                      </c:pt>
                    </c:strCache>
                  </c:strRef>
                </c:tx>
                <c:spPr>
                  <a:solidFill>
                    <a:schemeClr val="accent3"/>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2021'!$E$9:$E$11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3-775B-4917-8655-6ADCBE767CD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'GESTIÓN INTEGRAL SST-IND1 2021'!$F$8</c15:sqref>
                        </c15:formulaRef>
                      </c:ext>
                    </c:extLst>
                    <c:strCache>
                      <c:ptCount val="1"/>
                      <c:pt idx="0">
                        <c:v>Nº TOTAL DE AT MES</c:v>
                      </c:pt>
                    </c:strCache>
                  </c:strRef>
                </c:tx>
                <c:spPr>
                  <a:solidFill>
                    <a:schemeClr val="accent4"/>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2021'!$F$9:$F$11</c15:sqref>
                        </c15:formulaRef>
                      </c:ext>
                    </c:extLst>
                    <c:numCache>
                      <c:formatCode>General</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4-775B-4917-8655-6ADCBE767CD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'GESTIÓN INTEGRAL SST-IND1 2021'!$G$8</c15:sqref>
                        </c15:formulaRef>
                      </c:ext>
                    </c:extLst>
                    <c:strCache>
                      <c:ptCount val="1"/>
                      <c:pt idx="0">
                        <c:v>Nº TOTAL DE AT CON INCAPACIDAD EN EL MES</c:v>
                      </c:pt>
                    </c:strCache>
                  </c:strRef>
                </c:tx>
                <c:spPr>
                  <a:solidFill>
                    <a:schemeClr val="accent5"/>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2021'!$G$9:$G$11</c15:sqref>
                        </c15:formulaRef>
                      </c:ext>
                    </c:extLst>
                    <c:numCache>
                      <c:formatCode>General</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5-775B-4917-8655-6ADCBE767CD9}"/>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'GESTIÓN INTEGRAL SST-IND1 2021'!$H$8</c15:sqref>
                        </c15:formulaRef>
                      </c:ext>
                    </c:extLst>
                    <c:strCache>
                      <c:ptCount val="1"/>
                      <c:pt idx="0">
                        <c:v>DIAS DE INCAPACIDAD</c:v>
                      </c:pt>
                    </c:strCache>
                  </c:strRef>
                </c:tx>
                <c:spPr>
                  <a:solidFill>
                    <a:schemeClr val="accent6"/>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2021'!$H$9:$H$11</c15:sqref>
                        </c15:formulaRef>
                      </c:ext>
                    </c:extLst>
                    <c:numCache>
                      <c:formatCode>General</c:formatCode>
                      <c:ptCount val="3"/>
                      <c:pt idx="0">
                        <c:v>2</c:v>
                      </c:pt>
                      <c:pt idx="1">
                        <c:v>3</c:v>
                      </c:pt>
                      <c:pt idx="2">
                        <c:v>0</c:v>
                      </c:pt>
                    </c:numCache>
                  </c:numRef>
                </c:val>
                <c:extLst xmlns:c15="http://schemas.microsoft.com/office/drawing/2012/chart">
                  <c:ext xmlns:c16="http://schemas.microsoft.com/office/drawing/2014/chart" uri="{C3380CC4-5D6E-409C-BE32-E72D297353CC}">
                    <c16:uniqueId val="{00000006-775B-4917-8655-6ADCBE767CD9}"/>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'GESTIÓN INTEGRAL SST-IND1 2021'!$I$8</c15:sqref>
                        </c15:formulaRef>
                      </c:ext>
                    </c:extLst>
                    <c:strCache>
                      <c:ptCount val="1"/>
                      <c:pt idx="0">
                        <c:v>DIAS PRORROGA</c:v>
                      </c:pt>
                    </c:strCache>
                  </c:strRef>
                </c:tx>
                <c:spPr>
                  <a:solidFill>
                    <a:schemeClr val="accent1">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2021'!$I$9:$I$11</c15:sqref>
                        </c15:formulaRef>
                      </c:ext>
                    </c:extLst>
                    <c:numCache>
                      <c:formatCode>General</c:formatCode>
                      <c:ptCount val="3"/>
                      <c:pt idx="0">
                        <c:v>2</c:v>
                      </c:pt>
                      <c:pt idx="1">
                        <c:v>0</c:v>
                      </c:pt>
                      <c:pt idx="2">
                        <c:v>0</c:v>
                      </c:pt>
                    </c:numCache>
                  </c:numRef>
                </c:val>
                <c:extLst xmlns:c15="http://schemas.microsoft.com/office/drawing/2012/chart">
                  <c:ext xmlns:c16="http://schemas.microsoft.com/office/drawing/2014/chart" uri="{C3380CC4-5D6E-409C-BE32-E72D297353CC}">
                    <c16:uniqueId val="{00000007-775B-4917-8655-6ADCBE767CD9}"/>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'GESTIÓN INTEGRAL SST-IND1 2021'!$J$8</c15:sqref>
                        </c15:formulaRef>
                      </c:ext>
                    </c:extLst>
                    <c:strCache>
                      <c:ptCount val="1"/>
                      <c:pt idx="0">
                        <c:v>TOTAL DIAS INCAPACIDAD</c:v>
                      </c:pt>
                    </c:strCache>
                  </c:strRef>
                </c:tx>
                <c:spPr>
                  <a:solidFill>
                    <a:schemeClr val="accent2">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2021'!$J$9:$J$11</c15:sqref>
                        </c15:formulaRef>
                      </c:ext>
                    </c:extLst>
                    <c:numCache>
                      <c:formatCode>General</c:formatCode>
                      <c:ptCount val="3"/>
                      <c:pt idx="0">
                        <c:v>4</c:v>
                      </c:pt>
                      <c:pt idx="1">
                        <c:v>3</c:v>
                      </c:pt>
                      <c:pt idx="2">
                        <c:v>0</c:v>
                      </c:pt>
                    </c:numCache>
                  </c:numRef>
                </c:val>
                <c:extLst xmlns:c15="http://schemas.microsoft.com/office/drawing/2012/chart">
                  <c:ext xmlns:c16="http://schemas.microsoft.com/office/drawing/2014/chart" uri="{C3380CC4-5D6E-409C-BE32-E72D297353CC}">
                    <c16:uniqueId val="{00000008-775B-4917-8655-6ADCBE767CD9}"/>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'GESTIÓN INTEGRAL SST-IND1 2021'!$K$8</c15:sqref>
                        </c15:formulaRef>
                      </c:ext>
                    </c:extLst>
                    <c:strCache>
                      <c:ptCount val="1"/>
                      <c:pt idx="0">
                        <c:v>Nº DIAS CARGADOS
AT</c:v>
                      </c:pt>
                    </c:strCache>
                  </c:strRef>
                </c:tx>
                <c:spPr>
                  <a:solidFill>
                    <a:schemeClr val="accent3">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2021'!$K$9:$K$11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9-775B-4917-8655-6ADCBE767CD9}"/>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'GESTIÓN INTEGRAL SST-IND1 2021'!$L$8</c15:sqref>
                        </c15:formulaRef>
                      </c:ext>
                    </c:extLst>
                    <c:strCache>
                      <c:ptCount val="1"/>
                      <c:pt idx="0">
                        <c:v>Nº DE EL ANTIGUAS EN EL PERIODO</c:v>
                      </c:pt>
                    </c:strCache>
                  </c:strRef>
                </c:tx>
                <c:spPr>
                  <a:solidFill>
                    <a:schemeClr val="accent4">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2021'!$L$9:$L$11</c15:sqref>
                        </c15:formulaRef>
                      </c:ext>
                    </c:extLst>
                    <c:numCache>
                      <c:formatCode>General</c:formatCode>
                      <c:ptCount val="3"/>
                      <c:pt idx="0">
                        <c:v>3</c:v>
                      </c:pt>
                      <c:pt idx="1">
                        <c:v>3</c:v>
                      </c:pt>
                      <c:pt idx="2">
                        <c:v>3</c:v>
                      </c:pt>
                    </c:numCache>
                  </c:numRef>
                </c:val>
                <c:extLst xmlns:c15="http://schemas.microsoft.com/office/drawing/2012/chart">
                  <c:ext xmlns:c16="http://schemas.microsoft.com/office/drawing/2014/chart" uri="{C3380CC4-5D6E-409C-BE32-E72D297353CC}">
                    <c16:uniqueId val="{0000000A-775B-4917-8655-6ADCBE767CD9}"/>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'GESTIÓN INTEGRAL SST-IND1 2021'!$M$8</c15:sqref>
                        </c15:formulaRef>
                      </c:ext>
                    </c:extLst>
                    <c:strCache>
                      <c:ptCount val="1"/>
                      <c:pt idx="0">
                        <c:v>Nº DE EL NUEVAS EN EL PERIODO</c:v>
                      </c:pt>
                    </c:strCache>
                  </c:strRef>
                </c:tx>
                <c:spPr>
                  <a:solidFill>
                    <a:schemeClr val="accent5">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2021'!$M$9:$M$11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B-775B-4917-8655-6ADCBE767CD9}"/>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'GESTIÓN INTEGRAL SST-IND1 2021'!$N$8</c15:sqref>
                        </c15:formulaRef>
                      </c:ext>
                    </c:extLst>
                    <c:strCache>
                      <c:ptCount val="1"/>
                      <c:pt idx="0">
                        <c:v>TOTAL DE EL EN EL PERIODO</c:v>
                      </c:pt>
                    </c:strCache>
                  </c:strRef>
                </c:tx>
                <c:spPr>
                  <a:solidFill>
                    <a:schemeClr val="accent6">
                      <a:lumMod val="6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2021'!$N$9:$N$11</c15:sqref>
                        </c15:formulaRef>
                      </c:ext>
                    </c:extLst>
                    <c:numCache>
                      <c:formatCode>General</c:formatCode>
                      <c:ptCount val="3"/>
                      <c:pt idx="0">
                        <c:v>3</c:v>
                      </c:pt>
                      <c:pt idx="1">
                        <c:v>3</c:v>
                      </c:pt>
                      <c:pt idx="2">
                        <c:v>3</c:v>
                      </c:pt>
                    </c:numCache>
                  </c:numRef>
                </c:val>
                <c:extLst xmlns:c15="http://schemas.microsoft.com/office/drawing/2012/chart">
                  <c:ext xmlns:c16="http://schemas.microsoft.com/office/drawing/2014/chart" uri="{C3380CC4-5D6E-409C-BE32-E72D297353CC}">
                    <c16:uniqueId val="{0000000C-775B-4917-8655-6ADCBE767CD9}"/>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'GESTIÓN INTEGRAL SST-IND1 2021'!$O$8</c15:sqref>
                        </c15:formulaRef>
                      </c:ext>
                    </c:extLst>
                    <c:strCache>
                      <c:ptCount val="1"/>
                      <c:pt idx="0">
                        <c:v>TOTAL PERSONAS CON INCAPACIDAD POR EG  EN EL MES</c:v>
                      </c:pt>
                    </c:strCache>
                  </c:strRef>
                </c:tx>
                <c:spPr>
                  <a:solidFill>
                    <a:schemeClr val="accent1">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2021'!$O$9:$O$11</c15:sqref>
                        </c15:formulaRef>
                      </c:ext>
                    </c:extLst>
                    <c:numCache>
                      <c:formatCode>General</c:formatCode>
                      <c:ptCount val="3"/>
                      <c:pt idx="0">
                        <c:v>6</c:v>
                      </c:pt>
                      <c:pt idx="1">
                        <c:v>6</c:v>
                      </c:pt>
                      <c:pt idx="2">
                        <c:v>2</c:v>
                      </c:pt>
                    </c:numCache>
                  </c:numRef>
                </c:val>
                <c:extLst xmlns:c15="http://schemas.microsoft.com/office/drawing/2012/chart">
                  <c:ext xmlns:c16="http://schemas.microsoft.com/office/drawing/2014/chart" uri="{C3380CC4-5D6E-409C-BE32-E72D297353CC}">
                    <c16:uniqueId val="{0000000D-775B-4917-8655-6ADCBE767CD9}"/>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'GESTIÓN INTEGRAL SST-IND1 2021'!$P$8</c15:sqref>
                        </c15:formulaRef>
                      </c:ext>
                    </c:extLst>
                    <c:strCache>
                      <c:ptCount val="1"/>
                      <c:pt idx="0">
                        <c:v>DIAS DE INCAPACIDAD</c:v>
                      </c:pt>
                    </c:strCache>
                  </c:strRef>
                </c:tx>
                <c:spPr>
                  <a:solidFill>
                    <a:schemeClr val="accent2">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2021'!$P$9:$P$11</c15:sqref>
                        </c15:formulaRef>
                      </c:ext>
                    </c:extLst>
                    <c:numCache>
                      <c:formatCode>General</c:formatCode>
                      <c:ptCount val="3"/>
                      <c:pt idx="0">
                        <c:v>52</c:v>
                      </c:pt>
                      <c:pt idx="1">
                        <c:v>77</c:v>
                      </c:pt>
                      <c:pt idx="2">
                        <c:v>33</c:v>
                      </c:pt>
                    </c:numCache>
                  </c:numRef>
                </c:val>
                <c:extLst xmlns:c15="http://schemas.microsoft.com/office/drawing/2012/chart">
                  <c:ext xmlns:c16="http://schemas.microsoft.com/office/drawing/2014/chart" uri="{C3380CC4-5D6E-409C-BE32-E72D297353CC}">
                    <c16:uniqueId val="{0000000E-775B-4917-8655-6ADCBE767CD9}"/>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'GESTIÓN INTEGRAL SST-IND1 2021'!$Q$8</c15:sqref>
                        </c15:formulaRef>
                      </c:ext>
                    </c:extLst>
                    <c:strCache>
                      <c:ptCount val="1"/>
                      <c:pt idx="0">
                        <c:v>DIAS PRORROGA</c:v>
                      </c:pt>
                    </c:strCache>
                  </c:strRef>
                </c:tx>
                <c:spPr>
                  <a:solidFill>
                    <a:schemeClr val="accent3">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2021'!$Q$9:$Q$11</c15:sqref>
                        </c15:formulaRef>
                      </c:ext>
                    </c:extLst>
                    <c:numCache>
                      <c:formatCode>General</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F-775B-4917-8655-6ADCBE767CD9}"/>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'GESTIÓN INTEGRAL SST-IND1 2021'!$R$8</c15:sqref>
                        </c15:formulaRef>
                      </c:ext>
                    </c:extLst>
                    <c:strCache>
                      <c:ptCount val="1"/>
                      <c:pt idx="0">
                        <c:v>TOTAL DIAS INCAPACIDAD</c:v>
                      </c:pt>
                    </c:strCache>
                  </c:strRef>
                </c:tx>
                <c:spPr>
                  <a:solidFill>
                    <a:schemeClr val="accent4">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2021'!$R$9:$R$11</c15:sqref>
                        </c15:formulaRef>
                      </c:ext>
                    </c:extLst>
                    <c:numCache>
                      <c:formatCode>General</c:formatCode>
                      <c:ptCount val="3"/>
                      <c:pt idx="0">
                        <c:v>52</c:v>
                      </c:pt>
                      <c:pt idx="1">
                        <c:v>77</c:v>
                      </c:pt>
                      <c:pt idx="2">
                        <c:v>33</c:v>
                      </c:pt>
                    </c:numCache>
                  </c:numRef>
                </c:val>
                <c:extLst xmlns:c15="http://schemas.microsoft.com/office/drawing/2012/chart">
                  <c:ext xmlns:c16="http://schemas.microsoft.com/office/drawing/2014/chart" uri="{C3380CC4-5D6E-409C-BE32-E72D297353CC}">
                    <c16:uniqueId val="{00000010-775B-4917-8655-6ADCBE767CD9}"/>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'GESTIÓN INTEGRAL SST-IND1 2021'!$S$8</c15:sqref>
                        </c15:formulaRef>
                      </c:ext>
                    </c:extLst>
                    <c:strCache>
                      <c:ptCount val="1"/>
                      <c:pt idx="0">
                        <c:v>TOTAL DE DIAS DE AUSENCIA POR AT Y EG</c:v>
                      </c:pt>
                    </c:strCache>
                  </c:strRef>
                </c:tx>
                <c:spPr>
                  <a:solidFill>
                    <a:schemeClr val="accent5">
                      <a:lumMod val="80000"/>
                      <a:lumOff val="2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2021'!$S$9:$S$11</c15:sqref>
                        </c15:formulaRef>
                      </c:ext>
                    </c:extLst>
                    <c:numCache>
                      <c:formatCode>General</c:formatCode>
                      <c:ptCount val="3"/>
                      <c:pt idx="0">
                        <c:v>56</c:v>
                      </c:pt>
                      <c:pt idx="1">
                        <c:v>80</c:v>
                      </c:pt>
                      <c:pt idx="2">
                        <c:v>33</c:v>
                      </c:pt>
                    </c:numCache>
                  </c:numRef>
                </c:val>
                <c:extLst xmlns:c15="http://schemas.microsoft.com/office/drawing/2012/chart">
                  <c:ext xmlns:c16="http://schemas.microsoft.com/office/drawing/2014/chart" uri="{C3380CC4-5D6E-409C-BE32-E72D297353CC}">
                    <c16:uniqueId val="{00000011-775B-4917-8655-6ADCBE767CD9}"/>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'GESTIÓN INTEGRAL SST-IND1 2021'!$U$8</c15:sqref>
                        </c15:formulaRef>
                      </c:ext>
                    </c:extLst>
                    <c:strCache>
                      <c:ptCount val="1"/>
                      <c:pt idx="0">
                        <c:v>SEVERIDAD DE AT
%</c:v>
                      </c:pt>
                    </c:strCache>
                  </c:strRef>
                </c:tx>
                <c:spPr>
                  <a:solidFill>
                    <a:schemeClr val="accent1">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2021'!$U$9:$U$11</c15:sqref>
                        </c15:formulaRef>
                      </c:ext>
                    </c:extLst>
                    <c:numCache>
                      <c:formatCode>0.0</c:formatCode>
                      <c:ptCount val="3"/>
                      <c:pt idx="0">
                        <c:v>2.2099447513812152</c:v>
                      </c:pt>
                      <c:pt idx="1">
                        <c:v>1.6666666666666667</c:v>
                      </c:pt>
                      <c:pt idx="2">
                        <c:v>0</c:v>
                      </c:pt>
                    </c:numCache>
                  </c:numRef>
                </c:val>
                <c:extLst xmlns:c15="http://schemas.microsoft.com/office/drawing/2012/chart">
                  <c:ext xmlns:c16="http://schemas.microsoft.com/office/drawing/2014/chart" uri="{C3380CC4-5D6E-409C-BE32-E72D297353CC}">
                    <c16:uniqueId val="{00000012-775B-4917-8655-6ADCBE767CD9}"/>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'GESTIÓN INTEGRAL SST-IND1 2021'!$V$8</c15:sqref>
                        </c15:formulaRef>
                      </c:ext>
                    </c:extLst>
                    <c:strCache>
                      <c:ptCount val="1"/>
                      <c:pt idx="0">
                        <c:v>PROPORCION DE AT MORTALES</c:v>
                      </c:pt>
                    </c:strCache>
                  </c:strRef>
                </c:tx>
                <c:spPr>
                  <a:solidFill>
                    <a:schemeClr val="accent2">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2021'!$V$9:$V$11</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13-775B-4917-8655-6ADCBE767CD9}"/>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'GESTIÓN INTEGRAL SST-IND1 2021'!$W$8</c15:sqref>
                        </c15:formulaRef>
                      </c:ext>
                    </c:extLst>
                    <c:strCache>
                      <c:ptCount val="1"/>
                      <c:pt idx="0">
                        <c:v>PREVALENCIA DE LA EL</c:v>
                      </c:pt>
                    </c:strCache>
                  </c:strRef>
                </c:tx>
                <c:spPr>
                  <a:solidFill>
                    <a:schemeClr val="accent3">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2021'!$W$9:$W$11</c15:sqref>
                        </c15:formulaRef>
                      </c:ext>
                    </c:extLst>
                    <c:numCache>
                      <c:formatCode>0.00</c:formatCode>
                      <c:ptCount val="3"/>
                      <c:pt idx="0">
                        <c:v>1.6574585635359116</c:v>
                      </c:pt>
                      <c:pt idx="1">
                        <c:v>1.6666666666666667</c:v>
                      </c:pt>
                      <c:pt idx="2">
                        <c:v>1.6759776536312849</c:v>
                      </c:pt>
                    </c:numCache>
                  </c:numRef>
                </c:val>
                <c:extLst xmlns:c15="http://schemas.microsoft.com/office/drawing/2012/chart">
                  <c:ext xmlns:c16="http://schemas.microsoft.com/office/drawing/2014/chart" uri="{C3380CC4-5D6E-409C-BE32-E72D297353CC}">
                    <c16:uniqueId val="{00000014-775B-4917-8655-6ADCBE767CD9}"/>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'GESTIÓN INTEGRAL SST-IND1 2021'!$X$8</c15:sqref>
                        </c15:formulaRef>
                      </c:ext>
                    </c:extLst>
                    <c:strCache>
                      <c:ptCount val="1"/>
                      <c:pt idx="0">
                        <c:v>INCIDENCIA DE LA EL</c:v>
                      </c:pt>
                    </c:strCache>
                  </c:strRef>
                </c:tx>
                <c:spPr>
                  <a:solidFill>
                    <a:schemeClr val="accent4">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2021'!$X$9:$X$11</c15:sqref>
                        </c15:formulaRef>
                      </c:ext>
                    </c:extLst>
                    <c:numCache>
                      <c:formatCode>0.00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15-775B-4917-8655-6ADCBE767CD9}"/>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'GESTIÓN INTEGRAL SST-IND1 2021'!$Y$8</c15:sqref>
                        </c15:formulaRef>
                      </c:ext>
                    </c:extLst>
                    <c:strCache>
                      <c:ptCount val="1"/>
                      <c:pt idx="0">
                        <c:v>AUSENTISTMO POR CAUSA MEDICA 
%</c:v>
                      </c:pt>
                    </c:strCache>
                  </c:strRef>
                </c:tx>
                <c:spPr>
                  <a:solidFill>
                    <a:schemeClr val="accent5">
                      <a:lumMod val="80000"/>
                    </a:schemeClr>
                  </a:solidFill>
                  <a:ln>
                    <a:noFill/>
                  </a:ln>
                  <a:effectLst/>
                  <a:sp3d/>
                </c:spPr>
                <c:invertIfNegative val="0"/>
                <c:cat>
                  <c:multiLvlStrRef>
                    <c:extLst xmlns:c15="http://schemas.microsoft.com/office/drawing/2012/chart">
                      <c:ext xmlns:c15="http://schemas.microsoft.com/office/drawing/2012/chart" uri="{02D57815-91ED-43cb-92C2-25804820EDAC}">
                        <c15:formulaRef>
                          <c15:sqref>'GESTIÓN INTEGRAL SST-IND1 2021'!$A$9:$B$11</c15:sqref>
                        </c15:formulaRef>
                      </c:ext>
                    </c:extLst>
                    <c:multiLvlStrCache>
                      <c:ptCount val="3"/>
                      <c:lvl>
                        <c:pt idx="0">
                          <c:v>25</c:v>
                        </c:pt>
                        <c:pt idx="1">
                          <c:v>25</c:v>
                        </c:pt>
                        <c:pt idx="2">
                          <c:v>25</c:v>
                        </c:pt>
                      </c:lvl>
                      <c:lvl>
                        <c:pt idx="0">
                          <c:v>ENERO 2021</c:v>
                        </c:pt>
                        <c:pt idx="1">
                          <c:v>FEBRERO 2021</c:v>
                        </c:pt>
                        <c:pt idx="2">
                          <c:v>MARZO 2021</c:v>
                        </c:pt>
                      </c:lvl>
                    </c:multiLvlStrCache>
                  </c:multiLvlStrRef>
                </c:cat>
                <c:val>
                  <c:numRef>
                    <c:extLst xmlns:c15="http://schemas.microsoft.com/office/drawing/2012/chart">
                      <c:ext xmlns:c15="http://schemas.microsoft.com/office/drawing/2012/chart" uri="{02D57815-91ED-43cb-92C2-25804820EDAC}">
                        <c15:formulaRef>
                          <c15:sqref>'GESTIÓN INTEGRAL SST-IND1 2021'!$Y$9:$Y$11</c15:sqref>
                        </c15:formulaRef>
                      </c:ext>
                    </c:extLst>
                    <c:numCache>
                      <c:formatCode>0.00</c:formatCode>
                      <c:ptCount val="3"/>
                      <c:pt idx="0">
                        <c:v>1.3259668508287292</c:v>
                      </c:pt>
                      <c:pt idx="1">
                        <c:v>1.8444444444444443</c:v>
                      </c:pt>
                      <c:pt idx="2">
                        <c:v>0.73743016759776536</c:v>
                      </c:pt>
                    </c:numCache>
                  </c:numRef>
                </c:val>
                <c:extLst xmlns:c15="http://schemas.microsoft.com/office/drawing/2012/chart">
                  <c:ext xmlns:c16="http://schemas.microsoft.com/office/drawing/2014/chart" uri="{C3380CC4-5D6E-409C-BE32-E72D297353CC}">
                    <c16:uniqueId val="{00000016-775B-4917-8655-6ADCBE767CD9}"/>
                  </c:ext>
                </c:extLst>
              </c15:ser>
            </c15:filteredBarSeries>
          </c:ext>
        </c:extLst>
      </c:bar3DChart>
      <c:catAx>
        <c:axId val="212267064"/>
        <c:scaling>
          <c:orientation val="minMax"/>
        </c:scaling>
        <c:delete val="1"/>
        <c:axPos val="b"/>
        <c:numFmt formatCode="General" sourceLinked="1"/>
        <c:majorTickMark val="none"/>
        <c:minorTickMark val="none"/>
        <c:tickLblPos val="nextTo"/>
        <c:crossAx val="212268240"/>
        <c:crosses val="autoZero"/>
        <c:auto val="1"/>
        <c:lblAlgn val="ctr"/>
        <c:lblOffset val="100"/>
        <c:noMultiLvlLbl val="0"/>
      </c:catAx>
      <c:valAx>
        <c:axId val="2122682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22670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AUSENTISMO</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'GESTIÓN INTEGRAL SST IND1 2021'!$A$9:$B$9</c:f>
              <c:strCache>
                <c:ptCount val="2"/>
                <c:pt idx="0">
                  <c:v>ENERO 2021</c:v>
                </c:pt>
                <c:pt idx="1">
                  <c:v>27</c:v>
                </c:pt>
              </c:strCache>
            </c:strRef>
          </c:tx>
          <c:spPr>
            <a:solidFill>
              <a:schemeClr val="accent1"/>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2021'!$Y$8</c:f>
              <c:strCache>
                <c:ptCount val="1"/>
                <c:pt idx="0">
                  <c:v>AUSENTISTMO POR CAUSA MEDICA 
%</c:v>
                </c:pt>
              </c:strCache>
            </c:strRef>
          </c:cat>
          <c:val>
            <c:numRef>
              <c:extLst>
                <c:ext xmlns:c15="http://schemas.microsoft.com/office/drawing/2012/chart" uri="{02D57815-91ED-43cb-92C2-25804820EDAC}">
                  <c15:fullRef>
                    <c15:sqref>'GESTIÓN INTEGRAL SST IND1 2021'!$C$9:$Y$9</c15:sqref>
                  </c15:fullRef>
                </c:ext>
              </c:extLst>
              <c:f>'GESTIÓN INTEGRAL SST IND1 2021'!$Y$9</c:f>
              <c:numCache>
                <c:formatCode>General</c:formatCode>
                <c:ptCount val="1"/>
                <c:pt idx="0" formatCode="0.00">
                  <c:v>0.45724737082761779</c:v>
                </c:pt>
              </c:numCache>
            </c:numRef>
          </c:val>
          <c:extLst>
            <c:ext xmlns:c16="http://schemas.microsoft.com/office/drawing/2014/chart" uri="{C3380CC4-5D6E-409C-BE32-E72D297353CC}">
              <c16:uniqueId val="{00000000-A448-4154-ABB6-D406C66286DA}"/>
            </c:ext>
          </c:extLst>
        </c:ser>
        <c:ser>
          <c:idx val="1"/>
          <c:order val="1"/>
          <c:tx>
            <c:strRef>
              <c:f>'GESTIÓN INTEGRAL SST IND1 2021'!$A$10:$B$10</c:f>
              <c:strCache>
                <c:ptCount val="2"/>
                <c:pt idx="0">
                  <c:v>FEBRERO 2021</c:v>
                </c:pt>
                <c:pt idx="1">
                  <c:v>24</c:v>
                </c:pt>
              </c:strCache>
            </c:strRef>
          </c:tx>
          <c:spPr>
            <a:solidFill>
              <a:schemeClr val="accent2"/>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2021'!$Y$8</c:f>
              <c:strCache>
                <c:ptCount val="1"/>
                <c:pt idx="0">
                  <c:v>AUSENTISTMO POR CAUSA MEDICA 
%</c:v>
                </c:pt>
              </c:strCache>
            </c:strRef>
          </c:cat>
          <c:val>
            <c:numRef>
              <c:extLst>
                <c:ext xmlns:c15="http://schemas.microsoft.com/office/drawing/2012/chart" uri="{02D57815-91ED-43cb-92C2-25804820EDAC}">
                  <c15:fullRef>
                    <c15:sqref>'GESTIÓN INTEGRAL SST IND1 2021'!$C$10:$Y$10</c15:sqref>
                  </c15:fullRef>
                </c:ext>
              </c:extLst>
              <c:f>'GESTIÓN INTEGRAL SST IND1 2021'!$Y$10</c:f>
              <c:numCache>
                <c:formatCode>General</c:formatCode>
                <c:ptCount val="1"/>
                <c:pt idx="0" formatCode="0.00">
                  <c:v>4.8732943469785572E-2</c:v>
                </c:pt>
              </c:numCache>
            </c:numRef>
          </c:val>
          <c:extLst>
            <c:ext xmlns:c16="http://schemas.microsoft.com/office/drawing/2014/chart" uri="{C3380CC4-5D6E-409C-BE32-E72D297353CC}">
              <c16:uniqueId val="{00000001-A448-4154-ABB6-D406C66286DA}"/>
            </c:ext>
          </c:extLst>
        </c:ser>
        <c:ser>
          <c:idx val="2"/>
          <c:order val="2"/>
          <c:tx>
            <c:strRef>
              <c:f>'GESTIÓN INTEGRAL SST IND1 2021'!$A$11:$B$11</c:f>
              <c:strCache>
                <c:ptCount val="2"/>
                <c:pt idx="0">
                  <c:v>MARZO 2021</c:v>
                </c:pt>
                <c:pt idx="1">
                  <c:v>22</c:v>
                </c:pt>
              </c:strCache>
            </c:strRef>
          </c:tx>
          <c:spPr>
            <a:solidFill>
              <a:schemeClr val="accent3"/>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2021'!$Y$8</c:f>
              <c:strCache>
                <c:ptCount val="1"/>
                <c:pt idx="0">
                  <c:v>AUSENTISTMO POR CAUSA MEDICA 
%</c:v>
                </c:pt>
              </c:strCache>
            </c:strRef>
          </c:cat>
          <c:val>
            <c:numRef>
              <c:extLst>
                <c:ext xmlns:c15="http://schemas.microsoft.com/office/drawing/2012/chart" uri="{02D57815-91ED-43cb-92C2-25804820EDAC}">
                  <c15:fullRef>
                    <c15:sqref>'GESTIÓN INTEGRAL SST IND1 2021'!$C$11:$Y$11</c15:sqref>
                  </c15:fullRef>
                </c:ext>
              </c:extLst>
              <c:f>'GESTIÓN INTEGRAL SST IND1 2021'!$Y$11</c:f>
              <c:numCache>
                <c:formatCode>General</c:formatCode>
                <c:ptCount val="1"/>
                <c:pt idx="0" formatCode="0.00">
                  <c:v>0.53163211057947901</c:v>
                </c:pt>
              </c:numCache>
            </c:numRef>
          </c:val>
          <c:extLst>
            <c:ext xmlns:c16="http://schemas.microsoft.com/office/drawing/2014/chart" uri="{C3380CC4-5D6E-409C-BE32-E72D297353CC}">
              <c16:uniqueId val="{00000002-A448-4154-ABB6-D406C66286DA}"/>
            </c:ext>
          </c:extLst>
        </c:ser>
        <c:ser>
          <c:idx val="3"/>
          <c:order val="3"/>
          <c:tx>
            <c:strRef>
              <c:f>'GESTIÓN INTEGRAL SST IND1 2021'!$A$12:$B$12</c:f>
              <c:strCache>
                <c:ptCount val="2"/>
                <c:pt idx="0">
                  <c:v>ABRIL 2021</c:v>
                </c:pt>
                <c:pt idx="1">
                  <c:v>20</c:v>
                </c:pt>
              </c:strCache>
            </c:strRef>
          </c:tx>
          <c:spPr>
            <a:solidFill>
              <a:schemeClr val="accent4"/>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2021'!$Y$8</c:f>
              <c:strCache>
                <c:ptCount val="1"/>
                <c:pt idx="0">
                  <c:v>AUSENTISTMO POR CAUSA MEDICA 
%</c:v>
                </c:pt>
              </c:strCache>
            </c:strRef>
          </c:cat>
          <c:val>
            <c:numRef>
              <c:extLst>
                <c:ext xmlns:c15="http://schemas.microsoft.com/office/drawing/2012/chart" uri="{02D57815-91ED-43cb-92C2-25804820EDAC}">
                  <c15:fullRef>
                    <c15:sqref>'GESTIÓN INTEGRAL SST IND1 2021'!$C$12:$Y$12</c15:sqref>
                  </c15:fullRef>
                </c:ext>
              </c:extLst>
              <c:f>'GESTIÓN INTEGRAL SST IND1 2021'!$Y$12</c:f>
              <c:numCache>
                <c:formatCode>General</c:formatCode>
                <c:ptCount val="1"/>
                <c:pt idx="0" formatCode="0.00">
                  <c:v>1.9005847953216373</c:v>
                </c:pt>
              </c:numCache>
            </c:numRef>
          </c:val>
          <c:extLst>
            <c:ext xmlns:c16="http://schemas.microsoft.com/office/drawing/2014/chart" uri="{C3380CC4-5D6E-409C-BE32-E72D297353CC}">
              <c16:uniqueId val="{00000003-A448-4154-ABB6-D406C66286DA}"/>
            </c:ext>
          </c:extLst>
        </c:ser>
        <c:ser>
          <c:idx val="4"/>
          <c:order val="4"/>
          <c:tx>
            <c:strRef>
              <c:f>'GESTIÓN INTEGRAL SST IND1 2021'!$A$13:$B$13</c:f>
              <c:strCache>
                <c:ptCount val="2"/>
                <c:pt idx="0">
                  <c:v>MAYO 2021</c:v>
                </c:pt>
                <c:pt idx="1">
                  <c:v>20</c:v>
                </c:pt>
              </c:strCache>
            </c:strRef>
          </c:tx>
          <c:spPr>
            <a:solidFill>
              <a:schemeClr val="accent5"/>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2021'!$Y$8</c:f>
              <c:strCache>
                <c:ptCount val="1"/>
                <c:pt idx="0">
                  <c:v>AUSENTISTMO POR CAUSA MEDICA 
%</c:v>
                </c:pt>
              </c:strCache>
            </c:strRef>
          </c:cat>
          <c:val>
            <c:numRef>
              <c:extLst>
                <c:ext xmlns:c15="http://schemas.microsoft.com/office/drawing/2012/chart" uri="{02D57815-91ED-43cb-92C2-25804820EDAC}">
                  <c15:fullRef>
                    <c15:sqref>'GESTIÓN INTEGRAL SST IND1 2021'!$C$13:$Y$13</c15:sqref>
                  </c15:fullRef>
                </c:ext>
              </c:extLst>
              <c:f>'GESTIÓN INTEGRAL SST IND1 2021'!$Y$13</c:f>
              <c:numCache>
                <c:formatCode>General</c:formatCode>
                <c:ptCount val="1"/>
                <c:pt idx="0" formatCode="0.00">
                  <c:v>0.58479532163742687</c:v>
                </c:pt>
              </c:numCache>
            </c:numRef>
          </c:val>
          <c:extLst>
            <c:ext xmlns:c16="http://schemas.microsoft.com/office/drawing/2014/chart" uri="{C3380CC4-5D6E-409C-BE32-E72D297353CC}">
              <c16:uniqueId val="{00000004-A448-4154-ABB6-D406C66286DA}"/>
            </c:ext>
          </c:extLst>
        </c:ser>
        <c:ser>
          <c:idx val="5"/>
          <c:order val="5"/>
          <c:tx>
            <c:strRef>
              <c:f>'GESTIÓN INTEGRAL SST IND1 2021'!$A$14:$B$14</c:f>
              <c:strCache>
                <c:ptCount val="2"/>
                <c:pt idx="0">
                  <c:v>JUNIO 2021</c:v>
                </c:pt>
                <c:pt idx="1">
                  <c:v>21</c:v>
                </c:pt>
              </c:strCache>
            </c:strRef>
          </c:tx>
          <c:spPr>
            <a:solidFill>
              <a:schemeClr val="accent6"/>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2021'!$Y$8</c:f>
              <c:strCache>
                <c:ptCount val="1"/>
                <c:pt idx="0">
                  <c:v>AUSENTISTMO POR CAUSA MEDICA 
%</c:v>
                </c:pt>
              </c:strCache>
            </c:strRef>
          </c:cat>
          <c:val>
            <c:numRef>
              <c:extLst>
                <c:ext xmlns:c15="http://schemas.microsoft.com/office/drawing/2012/chart" uri="{02D57815-91ED-43cb-92C2-25804820EDAC}">
                  <c15:fullRef>
                    <c15:sqref>'GESTIÓN INTEGRAL SST IND1 2021'!$C$14:$Y$14</c15:sqref>
                  </c15:fullRef>
                </c:ext>
              </c:extLst>
              <c:f>'GESTIÓN INTEGRAL SST IND1 2021'!$Y$14</c:f>
              <c:numCache>
                <c:formatCode>General</c:formatCode>
                <c:ptCount val="1"/>
                <c:pt idx="0" formatCode="0.00">
                  <c:v>0</c:v>
                </c:pt>
              </c:numCache>
            </c:numRef>
          </c:val>
          <c:extLst>
            <c:ext xmlns:c16="http://schemas.microsoft.com/office/drawing/2014/chart" uri="{C3380CC4-5D6E-409C-BE32-E72D297353CC}">
              <c16:uniqueId val="{00000005-A448-4154-ABB6-D406C66286DA}"/>
            </c:ext>
          </c:extLst>
        </c:ser>
        <c:dLbls>
          <c:showLegendKey val="0"/>
          <c:showVal val="0"/>
          <c:showCatName val="0"/>
          <c:showSerName val="0"/>
          <c:showPercent val="0"/>
          <c:showBubbleSize val="0"/>
        </c:dLbls>
        <c:gapWidth val="150"/>
        <c:shape val="box"/>
        <c:axId val="236199136"/>
        <c:axId val="236199920"/>
        <c:axId val="0"/>
      </c:bar3DChart>
      <c:catAx>
        <c:axId val="236199136"/>
        <c:scaling>
          <c:orientation val="minMax"/>
        </c:scaling>
        <c:delete val="1"/>
        <c:axPos val="b"/>
        <c:numFmt formatCode="General" sourceLinked="1"/>
        <c:majorTickMark val="none"/>
        <c:minorTickMark val="none"/>
        <c:tickLblPos val="nextTo"/>
        <c:crossAx val="236199920"/>
        <c:crosses val="autoZero"/>
        <c:auto val="1"/>
        <c:lblAlgn val="ctr"/>
        <c:lblOffset val="100"/>
        <c:noMultiLvlLbl val="0"/>
      </c:catAx>
      <c:valAx>
        <c:axId val="236199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3619913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SEVERIDAD</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'GESTIÓN INTEGRAL SST IND1 2021'!$A$9:$B$9</c:f>
              <c:strCache>
                <c:ptCount val="2"/>
                <c:pt idx="0">
                  <c:v>ENERO 2021</c:v>
                </c:pt>
                <c:pt idx="1">
                  <c:v>27</c:v>
                </c:pt>
              </c:strCache>
            </c:strRef>
          </c:tx>
          <c:spPr>
            <a:solidFill>
              <a:schemeClr val="accent1"/>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2021'!$U$8</c:f>
              <c:strCache>
                <c:ptCount val="1"/>
                <c:pt idx="0">
                  <c:v>SEVERIDAD DE AT
%</c:v>
                </c:pt>
              </c:strCache>
            </c:strRef>
          </c:cat>
          <c:val>
            <c:numRef>
              <c:extLst>
                <c:ext xmlns:c15="http://schemas.microsoft.com/office/drawing/2012/chart" uri="{02D57815-91ED-43cb-92C2-25804820EDAC}">
                  <c15:fullRef>
                    <c15:sqref>'GESTIÓN INTEGRAL SST IND1 2021'!$C$9:$Y$9</c15:sqref>
                  </c15:fullRef>
                </c:ext>
              </c:extLst>
              <c:f>'GESTIÓN INTEGRAL SST IND1 2021'!$U$9</c:f>
              <c:numCache>
                <c:formatCode>General</c:formatCode>
                <c:ptCount val="1"/>
                <c:pt idx="0" formatCode="0.0">
                  <c:v>0</c:v>
                </c:pt>
              </c:numCache>
            </c:numRef>
          </c:val>
          <c:extLst xmlns:c15="http://schemas.microsoft.com/office/drawing/2012/chart">
            <c:ext xmlns:c16="http://schemas.microsoft.com/office/drawing/2014/chart" uri="{C3380CC4-5D6E-409C-BE32-E72D297353CC}">
              <c16:uniqueId val="{00000000-BD78-49B2-B75D-3B72D4FFCC5E}"/>
            </c:ext>
          </c:extLst>
        </c:ser>
        <c:ser>
          <c:idx val="1"/>
          <c:order val="1"/>
          <c:tx>
            <c:strRef>
              <c:f>'GESTIÓN INTEGRAL SST IND1 2021'!$A$10:$B$10</c:f>
              <c:strCache>
                <c:ptCount val="2"/>
                <c:pt idx="0">
                  <c:v>FEBRERO 2021</c:v>
                </c:pt>
                <c:pt idx="1">
                  <c:v>24</c:v>
                </c:pt>
              </c:strCache>
            </c:strRef>
          </c:tx>
          <c:spPr>
            <a:solidFill>
              <a:schemeClr val="accent2"/>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2021'!$U$8</c:f>
              <c:strCache>
                <c:ptCount val="1"/>
                <c:pt idx="0">
                  <c:v>SEVERIDAD DE AT
%</c:v>
                </c:pt>
              </c:strCache>
            </c:strRef>
          </c:cat>
          <c:val>
            <c:numRef>
              <c:extLst>
                <c:ext xmlns:c15="http://schemas.microsoft.com/office/drawing/2012/chart" uri="{02D57815-91ED-43cb-92C2-25804820EDAC}">
                  <c15:fullRef>
                    <c15:sqref>'GESTIÓN INTEGRAL SST IND1 2021'!$C$10:$Y$10</c15:sqref>
                  </c15:fullRef>
                </c:ext>
              </c:extLst>
              <c:f>'GESTIÓN INTEGRAL SST IND1 2021'!$U$10</c:f>
              <c:numCache>
                <c:formatCode>General</c:formatCode>
                <c:ptCount val="1"/>
                <c:pt idx="0" formatCode="0.0">
                  <c:v>0</c:v>
                </c:pt>
              </c:numCache>
            </c:numRef>
          </c:val>
          <c:extLst xmlns:c15="http://schemas.microsoft.com/office/drawing/2012/chart">
            <c:ext xmlns:c16="http://schemas.microsoft.com/office/drawing/2014/chart" uri="{C3380CC4-5D6E-409C-BE32-E72D297353CC}">
              <c16:uniqueId val="{00000001-BD78-49B2-B75D-3B72D4FFCC5E}"/>
            </c:ext>
          </c:extLst>
        </c:ser>
        <c:ser>
          <c:idx val="2"/>
          <c:order val="2"/>
          <c:tx>
            <c:strRef>
              <c:f>'GESTIÓN INTEGRAL SST IND1 2021'!$A$11:$B$11</c:f>
              <c:strCache>
                <c:ptCount val="2"/>
                <c:pt idx="0">
                  <c:v>MARZO 2021</c:v>
                </c:pt>
                <c:pt idx="1">
                  <c:v>22</c:v>
                </c:pt>
              </c:strCache>
            </c:strRef>
          </c:tx>
          <c:spPr>
            <a:solidFill>
              <a:schemeClr val="accent3"/>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2021'!$U$8</c:f>
              <c:strCache>
                <c:ptCount val="1"/>
                <c:pt idx="0">
                  <c:v>SEVERIDAD DE AT
%</c:v>
                </c:pt>
              </c:strCache>
            </c:strRef>
          </c:cat>
          <c:val>
            <c:numRef>
              <c:extLst>
                <c:ext xmlns:c15="http://schemas.microsoft.com/office/drawing/2012/chart" uri="{02D57815-91ED-43cb-92C2-25804820EDAC}">
                  <c15:fullRef>
                    <c15:sqref>'GESTIÓN INTEGRAL SST IND1 2021'!$C$11:$Y$11</c15:sqref>
                  </c15:fullRef>
                </c:ext>
              </c:extLst>
              <c:f>'GESTIÓN INTEGRAL SST IND1 2021'!$U$11</c:f>
              <c:numCache>
                <c:formatCode>General</c:formatCode>
                <c:ptCount val="1"/>
                <c:pt idx="0" formatCode="0.0">
                  <c:v>4.0935672514619883</c:v>
                </c:pt>
              </c:numCache>
            </c:numRef>
          </c:val>
          <c:extLst xmlns:c15="http://schemas.microsoft.com/office/drawing/2012/chart">
            <c:ext xmlns:c16="http://schemas.microsoft.com/office/drawing/2014/chart" uri="{C3380CC4-5D6E-409C-BE32-E72D297353CC}">
              <c16:uniqueId val="{00000002-BD78-49B2-B75D-3B72D4FFCC5E}"/>
            </c:ext>
          </c:extLst>
        </c:ser>
        <c:ser>
          <c:idx val="3"/>
          <c:order val="3"/>
          <c:tx>
            <c:strRef>
              <c:f>'GESTIÓN INTEGRAL SST IND1 2021'!$A$12:$B$12</c:f>
              <c:strCache>
                <c:ptCount val="2"/>
                <c:pt idx="0">
                  <c:v>ABRIL 2021</c:v>
                </c:pt>
                <c:pt idx="1">
                  <c:v>20</c:v>
                </c:pt>
              </c:strCache>
            </c:strRef>
          </c:tx>
          <c:spPr>
            <a:solidFill>
              <a:schemeClr val="accent4"/>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2021'!$U$8</c:f>
              <c:strCache>
                <c:ptCount val="1"/>
                <c:pt idx="0">
                  <c:v>SEVERIDAD DE AT
%</c:v>
                </c:pt>
              </c:strCache>
            </c:strRef>
          </c:cat>
          <c:val>
            <c:numRef>
              <c:extLst>
                <c:ext xmlns:c15="http://schemas.microsoft.com/office/drawing/2012/chart" uri="{02D57815-91ED-43cb-92C2-25804820EDAC}">
                  <c15:fullRef>
                    <c15:sqref>'GESTIÓN INTEGRAL SST IND1 2021'!$C$12:$Y$12</c15:sqref>
                  </c15:fullRef>
                </c:ext>
              </c:extLst>
              <c:f>'GESTIÓN INTEGRAL SST IND1 2021'!$U$12</c:f>
              <c:numCache>
                <c:formatCode>General</c:formatCode>
                <c:ptCount val="1"/>
                <c:pt idx="0" formatCode="0.0">
                  <c:v>0</c:v>
                </c:pt>
              </c:numCache>
            </c:numRef>
          </c:val>
          <c:extLst xmlns:c15="http://schemas.microsoft.com/office/drawing/2012/chart">
            <c:ext xmlns:c16="http://schemas.microsoft.com/office/drawing/2014/chart" uri="{C3380CC4-5D6E-409C-BE32-E72D297353CC}">
              <c16:uniqueId val="{00000003-BD78-49B2-B75D-3B72D4FFCC5E}"/>
            </c:ext>
          </c:extLst>
        </c:ser>
        <c:ser>
          <c:idx val="4"/>
          <c:order val="4"/>
          <c:tx>
            <c:strRef>
              <c:f>'GESTIÓN INTEGRAL SST IND1 2021'!$A$13:$B$13</c:f>
              <c:strCache>
                <c:ptCount val="2"/>
                <c:pt idx="0">
                  <c:v>MAYO 2021</c:v>
                </c:pt>
                <c:pt idx="1">
                  <c:v>20</c:v>
                </c:pt>
              </c:strCache>
            </c:strRef>
          </c:tx>
          <c:spPr>
            <a:solidFill>
              <a:schemeClr val="accent5"/>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2021'!$U$8</c:f>
              <c:strCache>
                <c:ptCount val="1"/>
                <c:pt idx="0">
                  <c:v>SEVERIDAD DE AT
%</c:v>
                </c:pt>
              </c:strCache>
            </c:strRef>
          </c:cat>
          <c:val>
            <c:numRef>
              <c:extLst>
                <c:ext xmlns:c15="http://schemas.microsoft.com/office/drawing/2012/chart" uri="{02D57815-91ED-43cb-92C2-25804820EDAC}">
                  <c15:fullRef>
                    <c15:sqref>'GESTIÓN INTEGRAL SST IND1 2021'!$C$13:$Y$13</c15:sqref>
                  </c15:fullRef>
                </c:ext>
              </c:extLst>
              <c:f>'GESTIÓN INTEGRAL SST IND1 2021'!$U$13</c:f>
              <c:numCache>
                <c:formatCode>General</c:formatCode>
                <c:ptCount val="1"/>
                <c:pt idx="0" formatCode="0.0">
                  <c:v>0</c:v>
                </c:pt>
              </c:numCache>
            </c:numRef>
          </c:val>
          <c:extLst xmlns:c15="http://schemas.microsoft.com/office/drawing/2012/chart">
            <c:ext xmlns:c16="http://schemas.microsoft.com/office/drawing/2014/chart" uri="{C3380CC4-5D6E-409C-BE32-E72D297353CC}">
              <c16:uniqueId val="{00000004-BD78-49B2-B75D-3B72D4FFCC5E}"/>
            </c:ext>
          </c:extLst>
        </c:ser>
        <c:ser>
          <c:idx val="5"/>
          <c:order val="5"/>
          <c:tx>
            <c:strRef>
              <c:f>'GESTIÓN INTEGRAL SST IND1 2021'!$A$14:$B$14</c:f>
              <c:strCache>
                <c:ptCount val="2"/>
                <c:pt idx="0">
                  <c:v>JUNIO 2021</c:v>
                </c:pt>
                <c:pt idx="1">
                  <c:v>21</c:v>
                </c:pt>
              </c:strCache>
            </c:strRef>
          </c:tx>
          <c:spPr>
            <a:solidFill>
              <a:schemeClr val="accent6"/>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2021'!$U$8</c:f>
              <c:strCache>
                <c:ptCount val="1"/>
                <c:pt idx="0">
                  <c:v>SEVERIDAD DE AT
%</c:v>
                </c:pt>
              </c:strCache>
            </c:strRef>
          </c:cat>
          <c:val>
            <c:numRef>
              <c:extLst>
                <c:ext xmlns:c15="http://schemas.microsoft.com/office/drawing/2012/chart" uri="{02D57815-91ED-43cb-92C2-25804820EDAC}">
                  <c15:fullRef>
                    <c15:sqref>'GESTIÓN INTEGRAL SST IND1 2021'!$C$14:$Y$14</c15:sqref>
                  </c15:fullRef>
                </c:ext>
              </c:extLst>
              <c:f>'GESTIÓN INTEGRAL SST IND1 2021'!$U$14</c:f>
              <c:numCache>
                <c:formatCode>General</c:formatCode>
                <c:ptCount val="1"/>
                <c:pt idx="0" formatCode="0.0">
                  <c:v>0.58479532163742687</c:v>
                </c:pt>
              </c:numCache>
            </c:numRef>
          </c:val>
          <c:extLst>
            <c:ext xmlns:c16="http://schemas.microsoft.com/office/drawing/2014/chart" uri="{C3380CC4-5D6E-409C-BE32-E72D297353CC}">
              <c16:uniqueId val="{00000005-BD78-49B2-B75D-3B72D4FFCC5E}"/>
            </c:ext>
          </c:extLst>
        </c:ser>
        <c:dLbls>
          <c:showLegendKey val="0"/>
          <c:showVal val="0"/>
          <c:showCatName val="0"/>
          <c:showSerName val="0"/>
          <c:showPercent val="0"/>
          <c:showBubbleSize val="0"/>
        </c:dLbls>
        <c:gapWidth val="150"/>
        <c:shape val="box"/>
        <c:axId val="306506736"/>
        <c:axId val="306504384"/>
        <c:axId val="0"/>
        <c:extLst/>
      </c:bar3DChart>
      <c:catAx>
        <c:axId val="306506736"/>
        <c:scaling>
          <c:orientation val="minMax"/>
        </c:scaling>
        <c:delete val="1"/>
        <c:axPos val="b"/>
        <c:numFmt formatCode="General" sourceLinked="1"/>
        <c:majorTickMark val="none"/>
        <c:minorTickMark val="none"/>
        <c:tickLblPos val="nextTo"/>
        <c:crossAx val="306504384"/>
        <c:crosses val="autoZero"/>
        <c:auto val="1"/>
        <c:lblAlgn val="ctr"/>
        <c:lblOffset val="100"/>
        <c:noMultiLvlLbl val="0"/>
      </c:catAx>
      <c:valAx>
        <c:axId val="3065043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650673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ES"/>
              <a:t>FRECUENCIA</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'GESTIÓN INTEGRAL SST IND1 2021'!$A$9:$B$9</c:f>
              <c:strCache>
                <c:ptCount val="2"/>
                <c:pt idx="0">
                  <c:v>ENERO 2021</c:v>
                </c:pt>
                <c:pt idx="1">
                  <c:v>27</c:v>
                </c:pt>
              </c:strCache>
            </c:strRef>
          </c:tx>
          <c:spPr>
            <a:solidFill>
              <a:schemeClr val="accent1"/>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2021'!$T$8</c:f>
              <c:strCache>
                <c:ptCount val="1"/>
                <c:pt idx="0">
                  <c:v>FRECUENCIA DE AT
%</c:v>
                </c:pt>
              </c:strCache>
            </c:strRef>
          </c:cat>
          <c:val>
            <c:numRef>
              <c:extLst>
                <c:ext xmlns:c15="http://schemas.microsoft.com/office/drawing/2012/chart" uri="{02D57815-91ED-43cb-92C2-25804820EDAC}">
                  <c15:fullRef>
                    <c15:sqref>'GESTIÓN INTEGRAL SST IND1 2021'!$C$9:$Y$9</c15:sqref>
                  </c15:fullRef>
                </c:ext>
              </c:extLst>
              <c:f>'GESTIÓN INTEGRAL SST IND1 2021'!$T$9</c:f>
              <c:numCache>
                <c:formatCode>General</c:formatCode>
                <c:ptCount val="1"/>
                <c:pt idx="0" formatCode="0.00">
                  <c:v>0</c:v>
                </c:pt>
              </c:numCache>
            </c:numRef>
          </c:val>
          <c:extLst xmlns:c15="http://schemas.microsoft.com/office/drawing/2012/chart">
            <c:ext xmlns:c16="http://schemas.microsoft.com/office/drawing/2014/chart" uri="{C3380CC4-5D6E-409C-BE32-E72D297353CC}">
              <c16:uniqueId val="{00000000-0609-444B-A62B-87C04ED020EC}"/>
            </c:ext>
          </c:extLst>
        </c:ser>
        <c:ser>
          <c:idx val="1"/>
          <c:order val="1"/>
          <c:tx>
            <c:strRef>
              <c:f>'GESTIÓN INTEGRAL SST IND1 2021'!$A$10:$B$10</c:f>
              <c:strCache>
                <c:ptCount val="2"/>
                <c:pt idx="0">
                  <c:v>FEBRERO 2021</c:v>
                </c:pt>
                <c:pt idx="1">
                  <c:v>24</c:v>
                </c:pt>
              </c:strCache>
            </c:strRef>
          </c:tx>
          <c:spPr>
            <a:solidFill>
              <a:schemeClr val="accent2"/>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2021'!$T$8</c:f>
              <c:strCache>
                <c:ptCount val="1"/>
                <c:pt idx="0">
                  <c:v>FRECUENCIA DE AT
%</c:v>
                </c:pt>
              </c:strCache>
            </c:strRef>
          </c:cat>
          <c:val>
            <c:numRef>
              <c:extLst>
                <c:ext xmlns:c15="http://schemas.microsoft.com/office/drawing/2012/chart" uri="{02D57815-91ED-43cb-92C2-25804820EDAC}">
                  <c15:fullRef>
                    <c15:sqref>'GESTIÓN INTEGRAL SST IND1 2021'!$C$10:$Y$10</c15:sqref>
                  </c15:fullRef>
                </c:ext>
              </c:extLst>
              <c:f>'GESTIÓN INTEGRAL SST IND1 2021'!$T$10</c:f>
              <c:numCache>
                <c:formatCode>General</c:formatCode>
                <c:ptCount val="1"/>
                <c:pt idx="0" formatCode="0.00">
                  <c:v>0</c:v>
                </c:pt>
              </c:numCache>
            </c:numRef>
          </c:val>
          <c:extLst xmlns:c15="http://schemas.microsoft.com/office/drawing/2012/chart">
            <c:ext xmlns:c16="http://schemas.microsoft.com/office/drawing/2014/chart" uri="{C3380CC4-5D6E-409C-BE32-E72D297353CC}">
              <c16:uniqueId val="{00000001-0609-444B-A62B-87C04ED020EC}"/>
            </c:ext>
          </c:extLst>
        </c:ser>
        <c:ser>
          <c:idx val="2"/>
          <c:order val="2"/>
          <c:tx>
            <c:strRef>
              <c:f>'GESTIÓN INTEGRAL SST IND1 2021'!$A$11:$B$11</c:f>
              <c:strCache>
                <c:ptCount val="2"/>
                <c:pt idx="0">
                  <c:v>MARZO 2021</c:v>
                </c:pt>
                <c:pt idx="1">
                  <c:v>22</c:v>
                </c:pt>
              </c:strCache>
            </c:strRef>
          </c:tx>
          <c:spPr>
            <a:solidFill>
              <a:schemeClr val="accent3"/>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2021'!$T$8</c:f>
              <c:strCache>
                <c:ptCount val="1"/>
                <c:pt idx="0">
                  <c:v>FRECUENCIA DE AT
%</c:v>
                </c:pt>
              </c:strCache>
            </c:strRef>
          </c:cat>
          <c:val>
            <c:numRef>
              <c:extLst>
                <c:ext xmlns:c15="http://schemas.microsoft.com/office/drawing/2012/chart" uri="{02D57815-91ED-43cb-92C2-25804820EDAC}">
                  <c15:fullRef>
                    <c15:sqref>'GESTIÓN INTEGRAL SST IND1 2021'!$C$11:$Y$11</c15:sqref>
                  </c15:fullRef>
                </c:ext>
              </c:extLst>
              <c:f>'GESTIÓN INTEGRAL SST IND1 2021'!$T$11</c:f>
              <c:numCache>
                <c:formatCode>General</c:formatCode>
                <c:ptCount val="1"/>
                <c:pt idx="0" formatCode="0.00">
                  <c:v>0.58479532163742687</c:v>
                </c:pt>
              </c:numCache>
            </c:numRef>
          </c:val>
          <c:extLst xmlns:c15="http://schemas.microsoft.com/office/drawing/2012/chart">
            <c:ext xmlns:c16="http://schemas.microsoft.com/office/drawing/2014/chart" uri="{C3380CC4-5D6E-409C-BE32-E72D297353CC}">
              <c16:uniqueId val="{00000002-0609-444B-A62B-87C04ED020EC}"/>
            </c:ext>
          </c:extLst>
        </c:ser>
        <c:ser>
          <c:idx val="3"/>
          <c:order val="3"/>
          <c:tx>
            <c:strRef>
              <c:f>'GESTIÓN INTEGRAL SST IND1 2021'!$A$12:$B$12</c:f>
              <c:strCache>
                <c:ptCount val="2"/>
                <c:pt idx="0">
                  <c:v>ABRIL 2021</c:v>
                </c:pt>
                <c:pt idx="1">
                  <c:v>20</c:v>
                </c:pt>
              </c:strCache>
            </c:strRef>
          </c:tx>
          <c:spPr>
            <a:solidFill>
              <a:schemeClr val="accent4"/>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2021'!$T$8</c:f>
              <c:strCache>
                <c:ptCount val="1"/>
                <c:pt idx="0">
                  <c:v>FRECUENCIA DE AT
%</c:v>
                </c:pt>
              </c:strCache>
            </c:strRef>
          </c:cat>
          <c:val>
            <c:numRef>
              <c:extLst>
                <c:ext xmlns:c15="http://schemas.microsoft.com/office/drawing/2012/chart" uri="{02D57815-91ED-43cb-92C2-25804820EDAC}">
                  <c15:fullRef>
                    <c15:sqref>'GESTIÓN INTEGRAL SST IND1 2021'!$C$12:$Y$12</c15:sqref>
                  </c15:fullRef>
                </c:ext>
              </c:extLst>
              <c:f>'GESTIÓN INTEGRAL SST IND1 2021'!$T$12</c:f>
              <c:numCache>
                <c:formatCode>General</c:formatCode>
                <c:ptCount val="1"/>
                <c:pt idx="0" formatCode="0.00">
                  <c:v>0</c:v>
                </c:pt>
              </c:numCache>
            </c:numRef>
          </c:val>
          <c:extLst xmlns:c15="http://schemas.microsoft.com/office/drawing/2012/chart">
            <c:ext xmlns:c16="http://schemas.microsoft.com/office/drawing/2014/chart" uri="{C3380CC4-5D6E-409C-BE32-E72D297353CC}">
              <c16:uniqueId val="{00000003-0609-444B-A62B-87C04ED020EC}"/>
            </c:ext>
          </c:extLst>
        </c:ser>
        <c:ser>
          <c:idx val="4"/>
          <c:order val="4"/>
          <c:tx>
            <c:strRef>
              <c:f>'GESTIÓN INTEGRAL SST IND1 2021'!$A$13:$B$13</c:f>
              <c:strCache>
                <c:ptCount val="2"/>
                <c:pt idx="0">
                  <c:v>MAYO 2021</c:v>
                </c:pt>
                <c:pt idx="1">
                  <c:v>20</c:v>
                </c:pt>
              </c:strCache>
            </c:strRef>
          </c:tx>
          <c:spPr>
            <a:solidFill>
              <a:schemeClr val="accent5"/>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2021'!$T$8</c:f>
              <c:strCache>
                <c:ptCount val="1"/>
                <c:pt idx="0">
                  <c:v>FRECUENCIA DE AT
%</c:v>
                </c:pt>
              </c:strCache>
            </c:strRef>
          </c:cat>
          <c:val>
            <c:numRef>
              <c:extLst>
                <c:ext xmlns:c15="http://schemas.microsoft.com/office/drawing/2012/chart" uri="{02D57815-91ED-43cb-92C2-25804820EDAC}">
                  <c15:fullRef>
                    <c15:sqref>'GESTIÓN INTEGRAL SST IND1 2021'!$C$13:$Y$13</c15:sqref>
                  </c15:fullRef>
                </c:ext>
              </c:extLst>
              <c:f>'GESTIÓN INTEGRAL SST IND1 2021'!$T$13</c:f>
              <c:numCache>
                <c:formatCode>General</c:formatCode>
                <c:ptCount val="1"/>
                <c:pt idx="0" formatCode="0.00">
                  <c:v>0</c:v>
                </c:pt>
              </c:numCache>
            </c:numRef>
          </c:val>
          <c:extLst xmlns:c15="http://schemas.microsoft.com/office/drawing/2012/chart">
            <c:ext xmlns:c16="http://schemas.microsoft.com/office/drawing/2014/chart" uri="{C3380CC4-5D6E-409C-BE32-E72D297353CC}">
              <c16:uniqueId val="{00000004-0609-444B-A62B-87C04ED020EC}"/>
            </c:ext>
          </c:extLst>
        </c:ser>
        <c:ser>
          <c:idx val="5"/>
          <c:order val="5"/>
          <c:tx>
            <c:strRef>
              <c:f>'GESTIÓN INTEGRAL SST IND1 2021'!$A$14:$B$14</c:f>
              <c:strCache>
                <c:ptCount val="2"/>
                <c:pt idx="0">
                  <c:v>JUNIO 2021</c:v>
                </c:pt>
                <c:pt idx="1">
                  <c:v>21</c:v>
                </c:pt>
              </c:strCache>
            </c:strRef>
          </c:tx>
          <c:spPr>
            <a:solidFill>
              <a:schemeClr val="accent6"/>
            </a:solidFill>
            <a:ln>
              <a:noFill/>
            </a:ln>
            <a:effectLst/>
            <a:sp3d/>
          </c:spPr>
          <c:invertIfNegative val="0"/>
          <c:cat>
            <c:strRef>
              <c:extLst>
                <c:ext xmlns:c15="http://schemas.microsoft.com/office/drawing/2012/chart" uri="{02D57815-91ED-43cb-92C2-25804820EDAC}">
                  <c15:fullRef>
                    <c15:sqref>'GESTIÓN INTEGRAL SST IND1 2021'!$C$8:$Y$8</c15:sqref>
                  </c15:fullRef>
                </c:ext>
              </c:extLst>
              <c:f>'GESTIÓN INTEGRAL SST IND1 2021'!$T$8</c:f>
              <c:strCache>
                <c:ptCount val="1"/>
                <c:pt idx="0">
                  <c:v>FRECUENCIA DE AT
%</c:v>
                </c:pt>
              </c:strCache>
            </c:strRef>
          </c:cat>
          <c:val>
            <c:numRef>
              <c:extLst>
                <c:ext xmlns:c15="http://schemas.microsoft.com/office/drawing/2012/chart" uri="{02D57815-91ED-43cb-92C2-25804820EDAC}">
                  <c15:fullRef>
                    <c15:sqref>'GESTIÓN INTEGRAL SST IND1 2021'!$C$14:$Y$14</c15:sqref>
                  </c15:fullRef>
                </c:ext>
              </c:extLst>
              <c:f>'GESTIÓN INTEGRAL SST IND1 2021'!$T$14</c:f>
              <c:numCache>
                <c:formatCode>General</c:formatCode>
                <c:ptCount val="1"/>
                <c:pt idx="0" formatCode="0.00">
                  <c:v>0.58479532163742687</c:v>
                </c:pt>
              </c:numCache>
            </c:numRef>
          </c:val>
          <c:extLst>
            <c:ext xmlns:c16="http://schemas.microsoft.com/office/drawing/2014/chart" uri="{C3380CC4-5D6E-409C-BE32-E72D297353CC}">
              <c16:uniqueId val="{00000005-0609-444B-A62B-87C04ED020EC}"/>
            </c:ext>
          </c:extLst>
        </c:ser>
        <c:dLbls>
          <c:showLegendKey val="0"/>
          <c:showVal val="0"/>
          <c:showCatName val="0"/>
          <c:showSerName val="0"/>
          <c:showPercent val="0"/>
          <c:showBubbleSize val="0"/>
        </c:dLbls>
        <c:gapWidth val="150"/>
        <c:shape val="box"/>
        <c:axId val="306501248"/>
        <c:axId val="306500072"/>
        <c:axId val="0"/>
        <c:extLst/>
      </c:bar3DChart>
      <c:catAx>
        <c:axId val="30650124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6500072"/>
        <c:crosses val="autoZero"/>
        <c:auto val="1"/>
        <c:lblAlgn val="ctr"/>
        <c:lblOffset val="100"/>
        <c:noMultiLvlLbl val="0"/>
      </c:catAx>
      <c:valAx>
        <c:axId val="3065000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650124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INDICES</a:t>
            </a:r>
          </a:p>
        </c:rich>
      </c:tx>
      <c:overlay val="0"/>
    </c:title>
    <c:autoTitleDeleted val="0"/>
    <c:plotArea>
      <c:layout/>
      <c:lineChart>
        <c:grouping val="standard"/>
        <c:varyColors val="0"/>
        <c:ser>
          <c:idx val="0"/>
          <c:order val="0"/>
          <c:tx>
            <c:strRef>
              <c:f>'[8]ESTADISTICAS DE ACCIDENTALIDAD'!$M$6</c:f>
              <c:strCache>
                <c:ptCount val="1"/>
                <c:pt idx="0">
                  <c:v>FRECUENCIA DE AT</c:v>
                </c:pt>
              </c:strCache>
            </c:strRef>
          </c:tx>
          <c:cat>
            <c:strRef>
              <c:f>'[8]ESTADISTICAS DE ACCIDENTALIDAD'!$A$7:$A$12</c:f>
              <c:strCache>
                <c:ptCount val="6"/>
                <c:pt idx="0">
                  <c:v>JULIO</c:v>
                </c:pt>
                <c:pt idx="1">
                  <c:v>AGOSTO</c:v>
                </c:pt>
                <c:pt idx="2">
                  <c:v>SEPTIEMBRE</c:v>
                </c:pt>
                <c:pt idx="3">
                  <c:v>OCTUBRE</c:v>
                </c:pt>
                <c:pt idx="4">
                  <c:v>NOVIEMBRE</c:v>
                </c:pt>
                <c:pt idx="5">
                  <c:v>DICIEMBRE</c:v>
                </c:pt>
              </c:strCache>
            </c:strRef>
          </c:cat>
          <c:val>
            <c:numRef>
              <c:f>'[8]ESTADISTICAS DE ACCIDENTALIDAD'!$M$7:$M$18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4BF1-43AA-AB53-EF34B00E4B4F}"/>
            </c:ext>
          </c:extLst>
        </c:ser>
        <c:ser>
          <c:idx val="1"/>
          <c:order val="1"/>
          <c:tx>
            <c:strRef>
              <c:f>'[8]ESTADISTICAS DE ACCIDENTALIDAD'!$N$6</c:f>
              <c:strCache>
                <c:ptCount val="1"/>
                <c:pt idx="0">
                  <c:v>SEVERIDAD DE AT</c:v>
                </c:pt>
              </c:strCache>
            </c:strRef>
          </c:tx>
          <c:cat>
            <c:strRef>
              <c:f>'[8]ESTADISTICAS DE ACCIDENTALIDAD'!$A$7:$A$12</c:f>
              <c:strCache>
                <c:ptCount val="6"/>
                <c:pt idx="0">
                  <c:v>JULIO</c:v>
                </c:pt>
                <c:pt idx="1">
                  <c:v>AGOSTO</c:v>
                </c:pt>
                <c:pt idx="2">
                  <c:v>SEPTIEMBRE</c:v>
                </c:pt>
                <c:pt idx="3">
                  <c:v>OCTUBRE</c:v>
                </c:pt>
                <c:pt idx="4">
                  <c:v>NOVIEMBRE</c:v>
                </c:pt>
                <c:pt idx="5">
                  <c:v>DICIEMBRE</c:v>
                </c:pt>
              </c:strCache>
            </c:strRef>
          </c:cat>
          <c:val>
            <c:numRef>
              <c:f>'[8]ESTADISTICAS DE ACCIDENTALIDAD'!$N$7:$N$18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4BF1-43AA-AB53-EF34B00E4B4F}"/>
            </c:ext>
          </c:extLst>
        </c:ser>
        <c:ser>
          <c:idx val="2"/>
          <c:order val="2"/>
          <c:tx>
            <c:strRef>
              <c:f>'[8]ESTADISTICAS DE ACCIDENTALIDAD'!$O$6</c:f>
              <c:strCache>
                <c:ptCount val="1"/>
                <c:pt idx="0">
                  <c:v>LESIONES INCAPACITANTES</c:v>
                </c:pt>
              </c:strCache>
            </c:strRef>
          </c:tx>
          <c:cat>
            <c:strRef>
              <c:f>'[8]ESTADISTICAS DE ACCIDENTALIDAD'!$A$7:$A$12</c:f>
              <c:strCache>
                <c:ptCount val="6"/>
                <c:pt idx="0">
                  <c:v>JULIO</c:v>
                </c:pt>
                <c:pt idx="1">
                  <c:v>AGOSTO</c:v>
                </c:pt>
                <c:pt idx="2">
                  <c:v>SEPTIEMBRE</c:v>
                </c:pt>
                <c:pt idx="3">
                  <c:v>OCTUBRE</c:v>
                </c:pt>
                <c:pt idx="4">
                  <c:v>NOVIEMBRE</c:v>
                </c:pt>
                <c:pt idx="5">
                  <c:v>DICIEMBRE</c:v>
                </c:pt>
              </c:strCache>
            </c:strRef>
          </c:cat>
          <c:val>
            <c:numRef>
              <c:f>'[8]ESTADISTICAS DE ACCIDENTALIDAD'!$O$7:$O$18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4BF1-43AA-AB53-EF34B00E4B4F}"/>
            </c:ext>
          </c:extLst>
        </c:ser>
        <c:dLbls>
          <c:showLegendKey val="0"/>
          <c:showVal val="0"/>
          <c:showCatName val="0"/>
          <c:showSerName val="0"/>
          <c:showPercent val="0"/>
          <c:showBubbleSize val="0"/>
        </c:dLbls>
        <c:marker val="1"/>
        <c:smooth val="0"/>
        <c:axId val="286859320"/>
        <c:axId val="286860104"/>
      </c:lineChart>
      <c:catAx>
        <c:axId val="286859320"/>
        <c:scaling>
          <c:orientation val="minMax"/>
        </c:scaling>
        <c:delete val="0"/>
        <c:axPos val="b"/>
        <c:numFmt formatCode="General" sourceLinked="0"/>
        <c:majorTickMark val="none"/>
        <c:minorTickMark val="none"/>
        <c:tickLblPos val="nextTo"/>
        <c:crossAx val="286860104"/>
        <c:crosses val="autoZero"/>
        <c:auto val="1"/>
        <c:lblAlgn val="ctr"/>
        <c:lblOffset val="100"/>
        <c:noMultiLvlLbl val="0"/>
      </c:catAx>
      <c:valAx>
        <c:axId val="286860104"/>
        <c:scaling>
          <c:orientation val="minMax"/>
        </c:scaling>
        <c:delete val="0"/>
        <c:axPos val="l"/>
        <c:majorGridlines/>
        <c:numFmt formatCode="General" sourceLinked="1"/>
        <c:majorTickMark val="none"/>
        <c:minorTickMark val="none"/>
        <c:tickLblPos val="nextTo"/>
        <c:crossAx val="286859320"/>
        <c:crosses val="autoZero"/>
        <c:crossBetween val="between"/>
      </c:valAx>
    </c:plotArea>
    <c:legend>
      <c:legendPos val="r"/>
      <c:layout>
        <c:manualLayout>
          <c:xMode val="edge"/>
          <c:yMode val="edge"/>
          <c:x val="0.70474912510936139"/>
          <c:y val="0.48798410615339749"/>
          <c:w val="0.25543022569333307"/>
          <c:h val="0.22086004621987879"/>
        </c:manualLayout>
      </c:layout>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TASAS</a:t>
            </a:r>
          </a:p>
        </c:rich>
      </c:tx>
      <c:overlay val="0"/>
    </c:title>
    <c:autoTitleDeleted val="0"/>
    <c:plotArea>
      <c:layout/>
      <c:lineChart>
        <c:grouping val="standard"/>
        <c:varyColors val="0"/>
        <c:ser>
          <c:idx val="0"/>
          <c:order val="0"/>
          <c:tx>
            <c:strRef>
              <c:f>'[8]ESTADISTICAS DE ACCIDENTALIDAD'!$P$6</c:f>
              <c:strCache>
                <c:ptCount val="1"/>
                <c:pt idx="0">
                  <c:v>TASA DE ACCIDENTALIDAD</c:v>
                </c:pt>
              </c:strCache>
            </c:strRef>
          </c:tx>
          <c:cat>
            <c:strRef>
              <c:f>'[8]ESTADISTICAS DE ACCIDENTALIDAD'!$A$7:$A$14</c:f>
              <c:strCache>
                <c:ptCount val="8"/>
                <c:pt idx="0">
                  <c:v>JULIO</c:v>
                </c:pt>
                <c:pt idx="1">
                  <c:v>AGOSTO</c:v>
                </c:pt>
                <c:pt idx="2">
                  <c:v>SEPTIEMBRE</c:v>
                </c:pt>
                <c:pt idx="3">
                  <c:v>OCTUBRE</c:v>
                </c:pt>
                <c:pt idx="4">
                  <c:v>NOVIEMBRE</c:v>
                </c:pt>
                <c:pt idx="5">
                  <c:v>DICIEMBRE</c:v>
                </c:pt>
                <c:pt idx="6">
                  <c:v>ENERO 2018</c:v>
                </c:pt>
                <c:pt idx="7">
                  <c:v>FEBRERO 2018</c:v>
                </c:pt>
              </c:strCache>
            </c:strRef>
          </c:cat>
          <c:val>
            <c:numRef>
              <c:f>'[8]ESTADISTICAS DE ACCIDENTALIDAD'!$A$7:$A$12</c:f>
              <c:numCache>
                <c:formatCode>General</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707D-41EF-A77D-634EB5DF5287}"/>
            </c:ext>
          </c:extLst>
        </c:ser>
        <c:ser>
          <c:idx val="1"/>
          <c:order val="1"/>
          <c:tx>
            <c:strRef>
              <c:f>'[8]ESTADISTICAS DE ACCIDENTALIDAD'!$Q$6</c:f>
              <c:strCache>
                <c:ptCount val="1"/>
                <c:pt idx="0">
                  <c:v>TASA DE AUSENTISMO</c:v>
                </c:pt>
              </c:strCache>
            </c:strRef>
          </c:tx>
          <c:cat>
            <c:strRef>
              <c:f>'[8]ESTADISTICAS DE ACCIDENTALIDAD'!$A$7:$A$14</c:f>
              <c:strCache>
                <c:ptCount val="8"/>
                <c:pt idx="0">
                  <c:v>JULIO</c:v>
                </c:pt>
                <c:pt idx="1">
                  <c:v>AGOSTO</c:v>
                </c:pt>
                <c:pt idx="2">
                  <c:v>SEPTIEMBRE</c:v>
                </c:pt>
                <c:pt idx="3">
                  <c:v>OCTUBRE</c:v>
                </c:pt>
                <c:pt idx="4">
                  <c:v>NOVIEMBRE</c:v>
                </c:pt>
                <c:pt idx="5">
                  <c:v>DICIEMBRE</c:v>
                </c:pt>
                <c:pt idx="6">
                  <c:v>ENERO 2018</c:v>
                </c:pt>
                <c:pt idx="7">
                  <c:v>FEBRERO 2018</c:v>
                </c:pt>
              </c:strCache>
            </c:strRef>
          </c:cat>
          <c:val>
            <c:numRef>
              <c:f>'[8]ESTADISTICAS DE ACCIDENTALIDAD'!$Q$7:$Q$18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707D-41EF-A77D-634EB5DF5287}"/>
            </c:ext>
          </c:extLst>
        </c:ser>
        <c:dLbls>
          <c:showLegendKey val="0"/>
          <c:showVal val="0"/>
          <c:showCatName val="0"/>
          <c:showSerName val="0"/>
          <c:showPercent val="0"/>
          <c:showBubbleSize val="0"/>
        </c:dLbls>
        <c:marker val="1"/>
        <c:smooth val="0"/>
        <c:axId val="519828072"/>
        <c:axId val="519827680"/>
      </c:lineChart>
      <c:catAx>
        <c:axId val="519828072"/>
        <c:scaling>
          <c:orientation val="minMax"/>
        </c:scaling>
        <c:delete val="0"/>
        <c:axPos val="b"/>
        <c:numFmt formatCode="General" sourceLinked="0"/>
        <c:majorTickMark val="none"/>
        <c:minorTickMark val="none"/>
        <c:tickLblPos val="nextTo"/>
        <c:crossAx val="519827680"/>
        <c:crosses val="autoZero"/>
        <c:auto val="1"/>
        <c:lblAlgn val="ctr"/>
        <c:lblOffset val="100"/>
        <c:noMultiLvlLbl val="0"/>
      </c:catAx>
      <c:valAx>
        <c:axId val="519827680"/>
        <c:scaling>
          <c:orientation val="minMax"/>
        </c:scaling>
        <c:delete val="0"/>
        <c:axPos val="l"/>
        <c:majorGridlines/>
        <c:numFmt formatCode="General" sourceLinked="1"/>
        <c:majorTickMark val="none"/>
        <c:minorTickMark val="none"/>
        <c:tickLblPos val="nextTo"/>
        <c:crossAx val="51982807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hyperlink" Target="#'DX NECESI. MEDIC'!A1"/><Relationship Id="rId7" Type="http://schemas.openxmlformats.org/officeDocument/2006/relationships/chart" Target="../charts/chart56.xml"/><Relationship Id="rId2" Type="http://schemas.openxmlformats.org/officeDocument/2006/relationships/image" Target="../media/image2.jpg"/><Relationship Id="rId1" Type="http://schemas.openxmlformats.org/officeDocument/2006/relationships/hyperlink" Target="#INDICE!A1"/><Relationship Id="rId6" Type="http://schemas.openxmlformats.org/officeDocument/2006/relationships/chart" Target="../charts/chart55.xml"/><Relationship Id="rId5" Type="http://schemas.openxmlformats.org/officeDocument/2006/relationships/hyperlink" Target="#'REP. INCAPACIDADES MED.'!A1"/><Relationship Id="rId4" Type="http://schemas.openxmlformats.org/officeDocument/2006/relationships/hyperlink" Target="#'FICHA T&#201;CNICA'!A1"/><Relationship Id="rId9" Type="http://schemas.openxmlformats.org/officeDocument/2006/relationships/image" Target="../media/image3.png"/></Relationships>
</file>

<file path=xl/drawings/_rels/drawing56.xml.rels><?xml version="1.0" encoding="UTF-8" standalone="yes"?>
<Relationships xmlns="http://schemas.openxmlformats.org/package/2006/relationships"><Relationship Id="rId8" Type="http://schemas.openxmlformats.org/officeDocument/2006/relationships/chart" Target="../charts/chart59.xml"/><Relationship Id="rId3" Type="http://schemas.openxmlformats.org/officeDocument/2006/relationships/image" Target="../media/image2.jpg"/><Relationship Id="rId7" Type="http://schemas.openxmlformats.org/officeDocument/2006/relationships/chart" Target="../charts/chart58.xml"/><Relationship Id="rId2" Type="http://schemas.openxmlformats.org/officeDocument/2006/relationships/hyperlink" Target="#INDICE!A1"/><Relationship Id="rId1" Type="http://schemas.openxmlformats.org/officeDocument/2006/relationships/image" Target="../media/image4.png"/><Relationship Id="rId6" Type="http://schemas.openxmlformats.org/officeDocument/2006/relationships/hyperlink" Target="#'REP. INCAPACIDADES MED.'!A1"/><Relationship Id="rId5" Type="http://schemas.openxmlformats.org/officeDocument/2006/relationships/hyperlink" Target="#'FICHA T&#201;CNICA'!A1"/><Relationship Id="rId4" Type="http://schemas.openxmlformats.org/officeDocument/2006/relationships/hyperlink" Target="#'DX NECESI. MEDIC'!A1"/><Relationship Id="rId9" Type="http://schemas.openxmlformats.org/officeDocument/2006/relationships/chart" Target="../charts/chart60.xml"/></Relationships>
</file>

<file path=xl/drawings/_rels/drawing57.xml.rels><?xml version="1.0" encoding="UTF-8" standalone="yes"?>
<Relationships xmlns="http://schemas.openxmlformats.org/package/2006/relationships"><Relationship Id="rId8" Type="http://schemas.openxmlformats.org/officeDocument/2006/relationships/hyperlink" Target="#'REP. INCAPACIDADES MED.'!A1"/><Relationship Id="rId3" Type="http://schemas.openxmlformats.org/officeDocument/2006/relationships/image" Target="../media/image4.png"/><Relationship Id="rId7" Type="http://schemas.openxmlformats.org/officeDocument/2006/relationships/hyperlink" Target="#'FICHA T&#201;CNICA'!A1"/><Relationship Id="rId2" Type="http://schemas.openxmlformats.org/officeDocument/2006/relationships/chart" Target="../charts/chart62.xml"/><Relationship Id="rId1" Type="http://schemas.openxmlformats.org/officeDocument/2006/relationships/chart" Target="../charts/chart61.xml"/><Relationship Id="rId6" Type="http://schemas.openxmlformats.org/officeDocument/2006/relationships/hyperlink" Target="#'DX NECESI. MEDIC'!A1"/><Relationship Id="rId5" Type="http://schemas.openxmlformats.org/officeDocument/2006/relationships/image" Target="../media/image2.jpg"/><Relationship Id="rId4"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136072</xdr:colOff>
      <xdr:row>19</xdr:row>
      <xdr:rowOff>136071</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num>
                      <m:den>
                        <m:r>
                          <a:rPr lang="es-CO" sz="1100" b="0" i="1">
                            <a:latin typeface="Cambria Math" panose="02040503050406030204" pitchFamily="18" charset="0"/>
                          </a:rPr>
                          <m:t>𝑉</m:t>
                        </m:r>
                        <m:r>
                          <a:rPr lang="es-CO" sz="1100" b="0" i="1">
                            <a:latin typeface="Cambria Math" panose="02040503050406030204" pitchFamily="18" charset="0"/>
                          </a:rPr>
                          <m:t>2</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97250A8-A753-49A0-A8C9-BCDB229C80C9}"/>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CO" sz="1100" b="0" i="0">
                  <a:latin typeface="Cambria Math" panose="02040503050406030204" pitchFamily="18" charset="0"/>
                </a:rPr>
                <a:t>𝑉1/𝑉2</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142877</xdr:colOff>
      <xdr:row>25</xdr:row>
      <xdr:rowOff>62178</xdr:rowOff>
    </xdr:from>
    <xdr:to>
      <xdr:col>23</xdr:col>
      <xdr:colOff>130952</xdr:colOff>
      <xdr:row>37</xdr:row>
      <xdr:rowOff>83342</xdr:rowOff>
    </xdr:to>
    <xdr:graphicFrame macro="">
      <xdr:nvGraphicFramePr>
        <xdr:cNvPr id="2" name="Gráfico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7C71391-AD69-4B41-B491-79EBC92874E4}"/>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71438</xdr:colOff>
      <xdr:row>0</xdr:row>
      <xdr:rowOff>250033</xdr:rowOff>
    </xdr:from>
    <xdr:to>
      <xdr:col>38</xdr:col>
      <xdr:colOff>11906</xdr:colOff>
      <xdr:row>2</xdr:row>
      <xdr:rowOff>71438</xdr:rowOff>
    </xdr:to>
    <xdr:sp macro="" textlink="">
      <xdr:nvSpPr>
        <xdr:cNvPr id="5" name="Flecha: hacia abajo 4">
          <a:extLst>
            <a:ext uri="{FF2B5EF4-FFF2-40B4-BE49-F238E27FC236}">
              <a16:creationId xmlns:a16="http://schemas.microsoft.com/office/drawing/2014/main" id="{88696E46-CD5E-4EF9-8FBF-CFD1F5EFFFE4}"/>
            </a:ext>
          </a:extLst>
        </xdr:cNvPr>
        <xdr:cNvSpPr/>
      </xdr:nvSpPr>
      <xdr:spPr bwMode="auto">
        <a:xfrm>
          <a:off x="12537282" y="250033"/>
          <a:ext cx="654843"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119063</xdr:colOff>
      <xdr:row>19</xdr:row>
      <xdr:rowOff>123825</xdr:rowOff>
    </xdr:from>
    <xdr:ext cx="33528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300-00000400000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𝑃𝑟𝑜𝑦𝑒𝑐𝑡𝑜𝑠</m:t>
                        </m:r>
                        <m:r>
                          <a:rPr lang="es-CO" sz="1100" b="0" i="1">
                            <a:latin typeface="Cambria Math" panose="02040503050406030204" pitchFamily="18" charset="0"/>
                          </a:rPr>
                          <m:t> </m:t>
                        </m:r>
                        <m:r>
                          <a:rPr lang="es-CO" sz="1100" b="0" i="1">
                            <a:latin typeface="Cambria Math" panose="02040503050406030204" pitchFamily="18" charset="0"/>
                          </a:rPr>
                          <m:t>𝑚𝑎𝑡𝑟𝑖𝑐𝑢𝑙𝑎𝑑𝑜𝑠</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𝑎𝑐𝑡𝑢𝑎𝑙𝑖𝑧𝑎𝑑𝑜𝑠</m:t>
                        </m:r>
                      </m:num>
                      <m:den>
                        <m:r>
                          <a:rPr lang="es-CO" sz="1100" b="0" i="1">
                            <a:latin typeface="Cambria Math" panose="02040503050406030204" pitchFamily="18" charset="0"/>
                          </a:rPr>
                          <m:t>𝑉𝑇𝑜𝑡𝑎𝑙</m:t>
                        </m:r>
                        <m:r>
                          <a:rPr lang="es-CO" sz="1100" b="0" i="1">
                            <a:latin typeface="Cambria Math" panose="02040503050406030204" pitchFamily="18" charset="0"/>
                          </a:rPr>
                          <m:t> </m:t>
                        </m:r>
                        <m:r>
                          <a:rPr lang="es-CO" sz="1100" b="0" i="1">
                            <a:latin typeface="Cambria Math" panose="02040503050406030204" pitchFamily="18" charset="0"/>
                          </a:rPr>
                          <m:t>𝑝𝑟𝑜𝑦𝑒𝑐𝑡𝑜𝑠</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B877E3BF-AB6E-4984-9F3D-4F71EDD32DA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𝑃𝑟𝑜𝑦𝑒𝑐𝑡𝑜𝑠 𝑚𝑎𝑡𝑟𝑖𝑐𝑢𝑙𝑎𝑑𝑜𝑠 𝑦/𝑜 𝑎𝑐𝑡𝑢𝑎𝑙𝑖𝑧𝑎𝑑𝑜𝑠)/(𝑉𝑇𝑜𝑡𝑎𝑙 𝑝𝑟𝑜𝑦𝑒𝑐𝑡𝑜𝑠 𝑔𝑒𝑠𝑡𝑖𝑜𝑛𝑎𝑑𝑜𝑠)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0</xdr:row>
      <xdr:rowOff>250032</xdr:rowOff>
    </xdr:from>
    <xdr:to>
      <xdr:col>37</xdr:col>
      <xdr:colOff>214313</xdr:colOff>
      <xdr:row>2</xdr:row>
      <xdr:rowOff>71437</xdr:rowOff>
    </xdr:to>
    <xdr:sp macro="" textlink="">
      <xdr:nvSpPr>
        <xdr:cNvPr id="5" name="Flecha: hacia abajo 4">
          <a:extLst>
            <a:ext uri="{FF2B5EF4-FFF2-40B4-BE49-F238E27FC236}">
              <a16:creationId xmlns:a16="http://schemas.microsoft.com/office/drawing/2014/main" id="{10661C03-A39B-43F1-A4E9-CE0D105BB314}"/>
            </a:ext>
          </a:extLst>
        </xdr:cNvPr>
        <xdr:cNvSpPr/>
      </xdr:nvSpPr>
      <xdr:spPr bwMode="auto">
        <a:xfrm>
          <a:off x="12561094"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0774C00-42BF-4EE9-9599-AF8142F2AED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250031</xdr:rowOff>
    </xdr:from>
    <xdr:to>
      <xdr:col>37</xdr:col>
      <xdr:colOff>238125</xdr:colOff>
      <xdr:row>2</xdr:row>
      <xdr:rowOff>71436</xdr:rowOff>
    </xdr:to>
    <xdr:sp macro="" textlink="">
      <xdr:nvSpPr>
        <xdr:cNvPr id="5" name="Flecha: hacia abajo 4">
          <a:extLst>
            <a:ext uri="{FF2B5EF4-FFF2-40B4-BE49-F238E27FC236}">
              <a16:creationId xmlns:a16="http://schemas.microsoft.com/office/drawing/2014/main" id="{95C8D490-8AB7-44BE-82B5-E01021CB57F7}"/>
            </a:ext>
          </a:extLst>
        </xdr:cNvPr>
        <xdr:cNvSpPr/>
      </xdr:nvSpPr>
      <xdr:spPr bwMode="auto">
        <a:xfrm>
          <a:off x="12632531"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83341</xdr:colOff>
      <xdr:row>19</xdr:row>
      <xdr:rowOff>123825</xdr:rowOff>
    </xdr:from>
    <xdr:ext cx="388143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500-000004000000}"/>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𝑃𝑙𝑎𝑛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𝐹𝑈𝑅𝐴𝐺</m:t>
                        </m:r>
                        <m:r>
                          <a:rPr lang="es-CO" sz="1100" b="0" i="1">
                            <a:latin typeface="Cambria Math" panose="02040503050406030204" pitchFamily="18" charset="0"/>
                          </a:rPr>
                          <m:t> 2021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0889ABC-282A-4B49-9F22-2D4BBEF4C61A}"/>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𝐴𝑐𝑡𝑖𝑣𝑖𝑑𝑎𝑑𝑒𝑠 𝑐𝑢𝑚𝑝𝑙𝑖𝑑𝑎𝑠)/(𝑉2 𝐴𝑐𝑡𝑖𝑣𝑖𝑑𝑎𝑑𝑒𝑠 𝑃𝑙𝑎𝑛 𝑑𝑒 𝑎𝑐𝑐𝑖ó𝑛 𝐹𝑈𝑅𝐴𝐺 2021)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1</xdr:row>
      <xdr:rowOff>0</xdr:rowOff>
    </xdr:from>
    <xdr:to>
      <xdr:col>37</xdr:col>
      <xdr:colOff>238125</xdr:colOff>
      <xdr:row>2</xdr:row>
      <xdr:rowOff>83343</xdr:rowOff>
    </xdr:to>
    <xdr:sp macro="" textlink="">
      <xdr:nvSpPr>
        <xdr:cNvPr id="5" name="Flecha: hacia abajo 4">
          <a:extLst>
            <a:ext uri="{FF2B5EF4-FFF2-40B4-BE49-F238E27FC236}">
              <a16:creationId xmlns:a16="http://schemas.microsoft.com/office/drawing/2014/main" id="{E46F2A24-47E1-4F95-B95C-2589F5A9F9AA}"/>
            </a:ext>
          </a:extLst>
        </xdr:cNvPr>
        <xdr:cNvSpPr/>
      </xdr:nvSpPr>
      <xdr:spPr bwMode="auto">
        <a:xfrm>
          <a:off x="12584906"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600-000004000000}"/>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3FF8702-EA73-4931-AF48-615605C0C7A5}"/>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(𝑉1𝑑𝑒𝑟𝑒𝑐ℎ𝑜𝑠 𝑝𝑒𝑡𝑖𝑐𝑖ó𝑛 𝑐𝑜𝑛𝑡𝑒𝑠𝑡𝑎𝑑𝑜𝑠 𝑜𝑝𝑜𝑟𝑡𝑢𝑛𝑎𝑚𝑒𝑛𝑡𝑒)/(𝑉2 𝑇𝑜𝑡𝑎𝑙 𝑑𝑒𝑟𝑒𝑐ℎ𝑜𝑠 𝑑𝑒 𝑝𝑒𝑡𝑖𝑐𝑖ó𝑛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130969</xdr:colOff>
      <xdr:row>1</xdr:row>
      <xdr:rowOff>0</xdr:rowOff>
    </xdr:from>
    <xdr:to>
      <xdr:col>37</xdr:col>
      <xdr:colOff>250032</xdr:colOff>
      <xdr:row>2</xdr:row>
      <xdr:rowOff>83343</xdr:rowOff>
    </xdr:to>
    <xdr:sp macro="" textlink="">
      <xdr:nvSpPr>
        <xdr:cNvPr id="6" name="Flecha: hacia abajo 5">
          <a:extLst>
            <a:ext uri="{FF2B5EF4-FFF2-40B4-BE49-F238E27FC236}">
              <a16:creationId xmlns:a16="http://schemas.microsoft.com/office/drawing/2014/main" id="{64F8EA48-8798-4277-A818-BF696FD7E858}"/>
            </a:ext>
          </a:extLst>
        </xdr:cNvPr>
        <xdr:cNvSpPr/>
      </xdr:nvSpPr>
      <xdr:spPr bwMode="auto">
        <a:xfrm>
          <a:off x="12596813"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35717</xdr:colOff>
      <xdr:row>19</xdr:row>
      <xdr:rowOff>123825</xdr:rowOff>
    </xdr:from>
    <xdr:ext cx="39290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700-000004000000}"/>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𝐷𝑒𝑚𝑎𝑛𝑑𝑎𝑠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𝑑𝑒𝑚𝑎𝑛𝑑𝑎𝑠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D6116EA-A378-4449-B77C-12A1EB96F386}"/>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𝐷𝑒𝑚𝑎𝑛𝑑𝑎𝑠 𝑐𝑜𝑛𝑡𝑒𝑠𝑡𝑎𝑑𝑜𝑠 𝑜𝑝𝑜𝑟𝑡𝑢𝑛𝑎𝑚𝑒𝑛𝑡𝑒)/(𝑉2 𝑇𝑜𝑡𝑎𝑙 𝑑𝑒𝑚𝑎𝑛𝑑𝑎𝑠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119062</xdr:colOff>
      <xdr:row>1</xdr:row>
      <xdr:rowOff>23812</xdr:rowOff>
    </xdr:from>
    <xdr:to>
      <xdr:col>37</xdr:col>
      <xdr:colOff>238125</xdr:colOff>
      <xdr:row>2</xdr:row>
      <xdr:rowOff>107155</xdr:rowOff>
    </xdr:to>
    <xdr:sp macro="" textlink="">
      <xdr:nvSpPr>
        <xdr:cNvPr id="6" name="Flecha: hacia abajo 5">
          <a:extLst>
            <a:ext uri="{FF2B5EF4-FFF2-40B4-BE49-F238E27FC236}">
              <a16:creationId xmlns:a16="http://schemas.microsoft.com/office/drawing/2014/main" id="{C7D5C730-0B86-4D72-AF03-1B69F0A9EE3C}"/>
            </a:ext>
          </a:extLst>
        </xdr:cNvPr>
        <xdr:cNvSpPr/>
      </xdr:nvSpPr>
      <xdr:spPr bwMode="auto">
        <a:xfrm>
          <a:off x="12584906" y="285750"/>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4571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800-000004000000}"/>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𝑎𝑐𝑜𝑟𝑑𝑎𝑑𝑎𝑠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𝑐𝑜𝑛𝑐𝑖𝑙𝑖𝑎𝑐𝑖𝑜𝑛𝑒𝑠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𝑔𝑒𝑠𝑡𝑖𝑜𝑛𝑎𝑟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81897A9-675E-4EB7-9A04-CF7B4969A55C}"/>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𝑎𝑐𝑜𝑟𝑑𝑎𝑑𝑎𝑠)/(𝑉2 𝑇𝑜𝑡𝑎𝑙 𝑐𝑜𝑛𝑐𝑖𝑙𝑖𝑎𝑐𝑖𝑜𝑛𝑒𝑠 𝑝𝑜𝑟 𝑔𝑒𝑠𝑡𝑖𝑜𝑛𝑎𝑟)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7" name="Imagen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9" name="Imagen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130968</xdr:colOff>
      <xdr:row>1</xdr:row>
      <xdr:rowOff>11906</xdr:rowOff>
    </xdr:from>
    <xdr:to>
      <xdr:col>37</xdr:col>
      <xdr:colOff>250031</xdr:colOff>
      <xdr:row>2</xdr:row>
      <xdr:rowOff>95249</xdr:rowOff>
    </xdr:to>
    <xdr:sp macro="" textlink="">
      <xdr:nvSpPr>
        <xdr:cNvPr id="8" name="Flecha: hacia abajo 7">
          <a:extLst>
            <a:ext uri="{FF2B5EF4-FFF2-40B4-BE49-F238E27FC236}">
              <a16:creationId xmlns:a16="http://schemas.microsoft.com/office/drawing/2014/main" id="{A48F4165-F466-43EC-8040-9DC9A4179C64}"/>
            </a:ext>
          </a:extLst>
        </xdr:cNvPr>
        <xdr:cNvSpPr/>
      </xdr:nvSpPr>
      <xdr:spPr bwMode="auto">
        <a:xfrm>
          <a:off x="12596812" y="273844"/>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23811</xdr:colOff>
      <xdr:row>19</xdr:row>
      <xdr:rowOff>123825</xdr:rowOff>
    </xdr:from>
    <xdr:ext cx="39528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𝑐𝑜𝑛𝑡𝑒𝑠𝑡𝑎𝑑𝑎𝑠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3AEEBC4-0553-4A6D-9C98-95A662621B8D}"/>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𝐴𝑐𝑐𝑖𝑜𝑛𝑒𝑠 𝑡𝑢𝑡𝑒𝑙𝑎𝑠 𝑐𝑜𝑛𝑡𝑒𝑠𝑡𝑎𝑑𝑎𝑠 𝑜𝑝𝑜𝑟𝑡𝑢𝑛𝑎𝑚𝑒𝑛𝑡𝑒)/(𝑉2 𝑇𝑜𝑡𝑎𝑙 𝑎𝑐𝑐𝑖𝑜𝑛𝑒𝑠 𝑡𝑢𝑡𝑒𝑙𝑎𝑠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142874</xdr:colOff>
      <xdr:row>0</xdr:row>
      <xdr:rowOff>250031</xdr:rowOff>
    </xdr:from>
    <xdr:to>
      <xdr:col>37</xdr:col>
      <xdr:colOff>261937</xdr:colOff>
      <xdr:row>2</xdr:row>
      <xdr:rowOff>71436</xdr:rowOff>
    </xdr:to>
    <xdr:sp macro="" textlink="">
      <xdr:nvSpPr>
        <xdr:cNvPr id="6" name="Flecha: hacia abajo 5">
          <a:extLst>
            <a:ext uri="{FF2B5EF4-FFF2-40B4-BE49-F238E27FC236}">
              <a16:creationId xmlns:a16="http://schemas.microsoft.com/office/drawing/2014/main" id="{3774E435-99E6-456A-A834-11108E9B29D2}"/>
            </a:ext>
          </a:extLst>
        </xdr:cNvPr>
        <xdr:cNvSpPr/>
      </xdr:nvSpPr>
      <xdr:spPr bwMode="auto">
        <a:xfrm>
          <a:off x="12608718"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6</xdr:col>
      <xdr:colOff>119064</xdr:colOff>
      <xdr:row>25</xdr:row>
      <xdr:rowOff>205053</xdr:rowOff>
    </xdr:from>
    <xdr:to>
      <xdr:col>23</xdr:col>
      <xdr:colOff>1119187</xdr:colOff>
      <xdr:row>38</xdr:row>
      <xdr:rowOff>11905</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23811</xdr:colOff>
      <xdr:row>19</xdr:row>
      <xdr:rowOff>123825</xdr:rowOff>
    </xdr:from>
    <xdr:ext cx="596503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802981"/>
              <a:ext cx="59650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𝑁</m:t>
                        </m:r>
                        <m:r>
                          <a:rPr lang="es-CO" sz="1100" b="0" i="1">
                            <a:latin typeface="Cambria Math" panose="02040503050406030204" pitchFamily="18" charset="0"/>
                          </a:rPr>
                          <m:t>ú</m:t>
                        </m:r>
                        <m:r>
                          <a:rPr lang="es-CO" sz="1100" b="0" i="1">
                            <a:latin typeface="Cambria Math" panose="02040503050406030204" pitchFamily="18" charset="0"/>
                          </a:rPr>
                          <m:t>𝑚𝑒𝑟𝑜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𝑡𝑢𝑡𝑒𝑙𝑎</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𝑖𝑛𝑣𝑜𝑐𝑎𝑛</m:t>
                        </m:r>
                        <m:r>
                          <a:rPr lang="es-CO" sz="1100" b="0" i="1">
                            <a:latin typeface="Cambria Math" panose="02040503050406030204" pitchFamily="18" charset="0"/>
                          </a:rPr>
                          <m:t> </m:t>
                        </m:r>
                        <m:r>
                          <a:rPr lang="es-CO" sz="1100" b="0" i="1">
                            <a:latin typeface="Cambria Math" panose="02040503050406030204" pitchFamily="18" charset="0"/>
                          </a:rPr>
                          <m:t>𝑑𝑒𝑟𝑒𝑐h𝑜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ñ</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𝑐𝑢𝑟𝑠𝑜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𝑁</m:t>
                        </m:r>
                        <m:r>
                          <a:rPr lang="es-CO" sz="1100" b="0" i="1">
                            <a:latin typeface="Cambria Math" panose="02040503050406030204" pitchFamily="18" charset="0"/>
                          </a:rPr>
                          <m:t>ú</m:t>
                        </m:r>
                        <m:r>
                          <a:rPr lang="es-CO" sz="1100" b="0" i="1">
                            <a:latin typeface="Cambria Math" panose="02040503050406030204" pitchFamily="18" charset="0"/>
                          </a:rPr>
                          <m:t>𝑚𝑒𝑟𝑜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𝑡𝑢𝑡𝑒𝑙𝑎</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𝑖𝑛𝑣𝑜𝑐𝑎𝑛</m:t>
                        </m:r>
                        <m:r>
                          <a:rPr lang="es-CO" sz="1100" b="0" i="1">
                            <a:latin typeface="Cambria Math" panose="02040503050406030204" pitchFamily="18" charset="0"/>
                          </a:rPr>
                          <m:t> </m:t>
                        </m:r>
                        <m:r>
                          <a:rPr lang="es-CO" sz="1100" b="0" i="1">
                            <a:latin typeface="Cambria Math" panose="02040503050406030204" pitchFamily="18" charset="0"/>
                          </a:rPr>
                          <m:t>𝑑𝑒𝑟𝑒𝑐h𝑜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ñ</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𝑎𝑛𝑡𝑒𝑟𝑖𝑜𝑟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802981"/>
              <a:ext cx="59650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𝑁ú𝑚𝑒𝑟𝑜 𝑑𝑒 𝑎𝑐𝑐𝑖𝑜𝑛𝑒𝑠 𝑑𝑒 𝑡𝑢𝑡𝑒𝑙𝑎 𝑞𝑢𝑒 𝑖𝑛𝑣𝑜𝑐𝑎𝑛 𝑑𝑒𝑟𝑒𝑐ℎ𝑜 𝑑𝑒 𝑝𝑒𝑡𝑖𝑐𝑖ó𝑛 𝑑𝑒𝑙 𝑎ñ𝑜 𝑒𝑛 𝑐𝑢𝑟𝑠𝑜)/(𝑉2 𝑁ú𝑚𝑒𝑟𝑜 𝑑𝑒 𝑎𝑐𝑐𝑖𝑜𝑛𝑒𝑠 𝑑𝑒 𝑡𝑢𝑡𝑒𝑙𝑎 𝑞𝑢𝑒 𝑖𝑛𝑣𝑜𝑐𝑎𝑛 𝑑𝑒𝑟𝑒𝑐ℎ𝑜 𝑑𝑒 𝑝𝑒𝑡𝑖𝑐𝑖ó𝑛 𝑑𝑒𝑙 𝑎ñ𝑜 𝑎𝑛𝑡𝑒𝑟𝑖𝑜𝑟)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35</xdr:col>
      <xdr:colOff>59531</xdr:colOff>
      <xdr:row>0</xdr:row>
      <xdr:rowOff>226219</xdr:rowOff>
    </xdr:from>
    <xdr:to>
      <xdr:col>36</xdr:col>
      <xdr:colOff>178593</xdr:colOff>
      <xdr:row>2</xdr:row>
      <xdr:rowOff>47624</xdr:rowOff>
    </xdr:to>
    <xdr:sp macro="" textlink="">
      <xdr:nvSpPr>
        <xdr:cNvPr id="6" name="Flecha: hacia abajo 5">
          <a:extLst>
            <a:ext uri="{FF2B5EF4-FFF2-40B4-BE49-F238E27FC236}">
              <a16:creationId xmlns:a16="http://schemas.microsoft.com/office/drawing/2014/main" id="{3774E435-99E6-456A-A834-11108E9B29D2}"/>
            </a:ext>
          </a:extLst>
        </xdr:cNvPr>
        <xdr:cNvSpPr/>
      </xdr:nvSpPr>
      <xdr:spPr bwMode="auto">
        <a:xfrm>
          <a:off x="14406562"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5</xdr:col>
      <xdr:colOff>178595</xdr:colOff>
      <xdr:row>25</xdr:row>
      <xdr:rowOff>169334</xdr:rowOff>
    </xdr:from>
    <xdr:to>
      <xdr:col>23</xdr:col>
      <xdr:colOff>166670</xdr:colOff>
      <xdr:row>37</xdr:row>
      <xdr:rowOff>190498</xdr:rowOff>
    </xdr:to>
    <xdr:graphicFrame macro="">
      <xdr:nvGraphicFramePr>
        <xdr:cNvPr id="2" name="Gráfico 3">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A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𝐸𝑞𝑢𝑖𝑝𝑜𝑠</m:t>
                        </m:r>
                        <m:r>
                          <a:rPr lang="es-CO" sz="1100" b="0" i="1">
                            <a:latin typeface="Cambria Math" panose="02040503050406030204" pitchFamily="18" charset="0"/>
                          </a:rPr>
                          <m:t> </m:t>
                        </m:r>
                        <m:r>
                          <a:rPr lang="es-CO" sz="1100" b="0" i="1">
                            <a:latin typeface="Cambria Math" panose="02040503050406030204" pitchFamily="18" charset="0"/>
                          </a:rPr>
                          <m:t>𝑎𝑑𝑞𝑢𝑖𝑟𝑖𝑑𝑜𝑠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𝑒𝑞𝑢𝑖𝑝𝑜𝑠</m:t>
                        </m:r>
                        <m:r>
                          <a:rPr lang="es-CO" sz="1100" b="0" i="1">
                            <a:latin typeface="Cambria Math" panose="02040503050406030204" pitchFamily="18" charset="0"/>
                          </a:rPr>
                          <m:t> </m:t>
                        </m:r>
                        <m:r>
                          <a:rPr lang="es-CO" sz="1100" b="0" i="1">
                            <a:latin typeface="Cambria Math" panose="02040503050406030204" pitchFamily="18" charset="0"/>
                          </a:rPr>
                          <m:t>𝑟𝑒𝑞𝑢𝑒𝑟𝑖𝑑𝑜𝑠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5776AA4-0237-4B0B-AE6E-8C51C9F8CEB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𝐸𝑞𝑢𝑖𝑝𝑜𝑠 𝑎𝑑𝑞𝑢𝑖𝑟𝑖𝑑𝑜𝑠   )/(𝑉2 𝑇𝑜𝑡𝑎𝑙 𝑑𝑒 𝑒𝑞𝑢𝑖𝑝𝑜𝑠 𝑟𝑒𝑞𝑢𝑒𝑟𝑖𝑑𝑜𝑠)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617D40BE-08BD-4268-BF92-91E8CF8E0C40}"/>
            </a:ext>
          </a:extLst>
        </xdr:cNvPr>
        <xdr:cNvSpPr/>
      </xdr:nvSpPr>
      <xdr:spPr bwMode="auto">
        <a:xfrm>
          <a:off x="12596812"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5</xdr:col>
      <xdr:colOff>250033</xdr:colOff>
      <xdr:row>25</xdr:row>
      <xdr:rowOff>145522</xdr:rowOff>
    </xdr:from>
    <xdr:to>
      <xdr:col>23</xdr:col>
      <xdr:colOff>238108</xdr:colOff>
      <xdr:row>37</xdr:row>
      <xdr:rowOff>166687</xdr:rowOff>
    </xdr:to>
    <xdr:graphicFrame macro="">
      <xdr:nvGraphicFramePr>
        <xdr:cNvPr id="2" name="Gráfico 3">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238125</xdr:colOff>
      <xdr:row>19</xdr:row>
      <xdr:rowOff>123826</xdr:rowOff>
    </xdr:from>
    <xdr:ext cx="2566988"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B00-000006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𝐵𝑎𝑐𝑘𝑢𝑝</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𝑢𝑠𝑢𝑎𝑟𝑖𝑜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𝑟𝑒𝑑</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B00-000004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𝐵𝑎𝑐𝑘𝑢𝑝 𝑝𝑜𝑟 𝑢𝑠𝑢𝑎𝑟𝑖𝑜 𝑟𝑒𝑎𝑙𝑖𝑧𝑎𝑑𝑜)/(𝑉2  𝑇𝑜𝑡𝑎𝑙 𝑑𝑒 𝑢𝑠𝑢𝑎𝑟𝑖𝑜𝑠 𝑑𝑒 𝑟𝑒𝑑)</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1</xdr:row>
      <xdr:rowOff>11906</xdr:rowOff>
    </xdr:from>
    <xdr:to>
      <xdr:col>37</xdr:col>
      <xdr:colOff>250031</xdr:colOff>
      <xdr:row>2</xdr:row>
      <xdr:rowOff>95249</xdr:rowOff>
    </xdr:to>
    <xdr:sp macro="" textlink="">
      <xdr:nvSpPr>
        <xdr:cNvPr id="7" name="Flecha: hacia abajo 6">
          <a:extLst>
            <a:ext uri="{FF2B5EF4-FFF2-40B4-BE49-F238E27FC236}">
              <a16:creationId xmlns:a16="http://schemas.microsoft.com/office/drawing/2014/main" id="{805C43EB-F5F1-4238-8878-83D954DF3DE5}"/>
            </a:ext>
          </a:extLst>
        </xdr:cNvPr>
        <xdr:cNvSpPr/>
      </xdr:nvSpPr>
      <xdr:spPr bwMode="auto">
        <a:xfrm>
          <a:off x="12596812" y="273844"/>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5</xdr:col>
      <xdr:colOff>166690</xdr:colOff>
      <xdr:row>25</xdr:row>
      <xdr:rowOff>181240</xdr:rowOff>
    </xdr:from>
    <xdr:to>
      <xdr:col>23</xdr:col>
      <xdr:colOff>154765</xdr:colOff>
      <xdr:row>37</xdr:row>
      <xdr:rowOff>202404</xdr:rowOff>
    </xdr:to>
    <xdr:graphicFrame macro="">
      <xdr:nvGraphicFramePr>
        <xdr:cNvPr id="2" name="Gráfico 3">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C00-000004000000}"/>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87052C4-08FC-4F57-9F68-0F586B222E45}"/>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C00-000006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C00-000004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142874</xdr:colOff>
      <xdr:row>0</xdr:row>
      <xdr:rowOff>250032</xdr:rowOff>
    </xdr:from>
    <xdr:to>
      <xdr:col>37</xdr:col>
      <xdr:colOff>261937</xdr:colOff>
      <xdr:row>2</xdr:row>
      <xdr:rowOff>71437</xdr:rowOff>
    </xdr:to>
    <xdr:sp macro="" textlink="">
      <xdr:nvSpPr>
        <xdr:cNvPr id="7" name="Flecha: hacia abajo 6">
          <a:extLst>
            <a:ext uri="{FF2B5EF4-FFF2-40B4-BE49-F238E27FC236}">
              <a16:creationId xmlns:a16="http://schemas.microsoft.com/office/drawing/2014/main" id="{493ECC0E-8F15-4623-88A9-80852CFB0AE8}"/>
            </a:ext>
          </a:extLst>
        </xdr:cNvPr>
        <xdr:cNvSpPr/>
      </xdr:nvSpPr>
      <xdr:spPr bwMode="auto">
        <a:xfrm>
          <a:off x="12608718"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5</xdr:col>
      <xdr:colOff>119064</xdr:colOff>
      <xdr:row>25</xdr:row>
      <xdr:rowOff>181240</xdr:rowOff>
    </xdr:from>
    <xdr:to>
      <xdr:col>23</xdr:col>
      <xdr:colOff>107139</xdr:colOff>
      <xdr:row>37</xdr:row>
      <xdr:rowOff>202405</xdr:rowOff>
    </xdr:to>
    <xdr:graphicFrame macro="">
      <xdr:nvGraphicFramePr>
        <xdr:cNvPr id="2" name="Gráfico 3">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D00-000004000000}"/>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7B52521-C877-4438-B247-835618949583}"/>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D00-000006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D00-000004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250032</xdr:rowOff>
    </xdr:from>
    <xdr:to>
      <xdr:col>37</xdr:col>
      <xdr:colOff>226219</xdr:colOff>
      <xdr:row>2</xdr:row>
      <xdr:rowOff>71437</xdr:rowOff>
    </xdr:to>
    <xdr:sp macro="" textlink="">
      <xdr:nvSpPr>
        <xdr:cNvPr id="7" name="Flecha: hacia abajo 6">
          <a:extLst>
            <a:ext uri="{FF2B5EF4-FFF2-40B4-BE49-F238E27FC236}">
              <a16:creationId xmlns:a16="http://schemas.microsoft.com/office/drawing/2014/main" id="{3088E696-A291-4751-84A7-BE2AE7215C62}"/>
            </a:ext>
          </a:extLst>
        </xdr:cNvPr>
        <xdr:cNvSpPr/>
      </xdr:nvSpPr>
      <xdr:spPr bwMode="auto">
        <a:xfrm>
          <a:off x="12573000"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5</xdr:col>
      <xdr:colOff>178595</xdr:colOff>
      <xdr:row>25</xdr:row>
      <xdr:rowOff>97891</xdr:rowOff>
    </xdr:from>
    <xdr:to>
      <xdr:col>23</xdr:col>
      <xdr:colOff>166670</xdr:colOff>
      <xdr:row>37</xdr:row>
      <xdr:rowOff>119056</xdr:rowOff>
    </xdr:to>
    <xdr:graphicFrame macro="">
      <xdr:nvGraphicFramePr>
        <xdr:cNvPr id="2" name="Gráfico 3">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154781</xdr:colOff>
      <xdr:row>19</xdr:row>
      <xdr:rowOff>123825</xdr:rowOff>
    </xdr:from>
    <xdr:ext cx="396478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E00-000004000000}"/>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𝑑𝑒𝑝𝑒𝑛𝑑𝑒𝑛𝑐𝑖𝑎𝑠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𝑒𝑛𝑡𝑟𝑒𝑔𝑎𝑟𝑜𝑛</m:t>
                        </m:r>
                        <m:r>
                          <a:rPr lang="es-CO" sz="1100" b="0" i="1">
                            <a:latin typeface="Cambria Math" panose="02040503050406030204" pitchFamily="18" charset="0"/>
                          </a:rPr>
                          <m:t> </m:t>
                        </m:r>
                        <m:r>
                          <a:rPr lang="es-CO" sz="1100" b="0" i="1">
                            <a:latin typeface="Cambria Math" panose="02040503050406030204" pitchFamily="18" charset="0"/>
                          </a:rPr>
                          <m:t>𝑇𝑟𝑎𝑛𝑠𝑓𝑒𝑟𝑒𝑛𝑐𝑖𝑎𝑠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𝐷𝑒𝑝𝑒𝑛𝑑𝑒𝑛𝑐𝑖𝑎𝑠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𝑙𝑎𝑠</m:t>
                        </m:r>
                        <m:r>
                          <a:rPr lang="es-CO" sz="1100" b="0" i="1">
                            <a:latin typeface="Cambria Math" panose="02040503050406030204" pitchFamily="18" charset="0"/>
                          </a:rPr>
                          <m:t> </m:t>
                        </m:r>
                        <m:r>
                          <a:rPr lang="es-CO" sz="1100" b="0" i="1">
                            <a:latin typeface="Cambria Math" panose="02040503050406030204" pitchFamily="18" charset="0"/>
                          </a:rPr>
                          <m:t>𝑇𝑅𝐷</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47DAE52-01E4-4CF7-B785-47571B81B9FB}"/>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 𝑑𝑒 𝑑𝑒𝑝𝑒𝑛𝑑𝑒𝑛𝑐𝑖𝑎𝑠 𝑞𝑢𝑒 𝑒𝑛𝑡𝑟𝑒𝑔𝑎𝑟𝑜𝑛 𝑇𝑟𝑎𝑛𝑠𝑓𝑒𝑟𝑒𝑛𝑐𝑖𝑎𝑠)/(𝑉2 𝐷𝑒𝑝𝑒𝑛𝑑𝑒𝑛𝑐𝑖𝑎𝑠 𝑒𝑠𝑡𝑎𝑏𝑙𝑒𝑐𝑖𝑑𝑎𝑠 𝑒𝑛 𝑙𝑎𝑠 𝑇𝑅𝐷)</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107155</xdr:colOff>
      <xdr:row>0</xdr:row>
      <xdr:rowOff>238125</xdr:rowOff>
    </xdr:from>
    <xdr:to>
      <xdr:col>37</xdr:col>
      <xdr:colOff>226218</xdr:colOff>
      <xdr:row>2</xdr:row>
      <xdr:rowOff>59530</xdr:rowOff>
    </xdr:to>
    <xdr:sp macro="" textlink="">
      <xdr:nvSpPr>
        <xdr:cNvPr id="5" name="Flecha: hacia abajo 4">
          <a:extLst>
            <a:ext uri="{FF2B5EF4-FFF2-40B4-BE49-F238E27FC236}">
              <a16:creationId xmlns:a16="http://schemas.microsoft.com/office/drawing/2014/main" id="{A7B51344-6A9F-49B3-819B-79E997D8CDC2}"/>
            </a:ext>
          </a:extLst>
        </xdr:cNvPr>
        <xdr:cNvSpPr/>
      </xdr:nvSpPr>
      <xdr:spPr bwMode="auto">
        <a:xfrm>
          <a:off x="12572999"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5</xdr:col>
      <xdr:colOff>202408</xdr:colOff>
      <xdr:row>25</xdr:row>
      <xdr:rowOff>74084</xdr:rowOff>
    </xdr:from>
    <xdr:to>
      <xdr:col>23</xdr:col>
      <xdr:colOff>190483</xdr:colOff>
      <xdr:row>37</xdr:row>
      <xdr:rowOff>95249</xdr:rowOff>
    </xdr:to>
    <xdr:graphicFrame macro="">
      <xdr:nvGraphicFramePr>
        <xdr:cNvPr id="2" name="Gráfico 3">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F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𝑃𝐴𝐶</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85F4922-4103-4A25-94A0-2D41FB82F61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𝑒𝑗𝑒𝑐𝑢𝑡𝑎𝑑𝑜)/(𝑉2 𝑃𝐴𝐶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166687</xdr:colOff>
      <xdr:row>0</xdr:row>
      <xdr:rowOff>226218</xdr:rowOff>
    </xdr:from>
    <xdr:to>
      <xdr:col>37</xdr:col>
      <xdr:colOff>238124</xdr:colOff>
      <xdr:row>2</xdr:row>
      <xdr:rowOff>47623</xdr:rowOff>
    </xdr:to>
    <xdr:sp macro="" textlink="">
      <xdr:nvSpPr>
        <xdr:cNvPr id="5" name="Flecha: hacia abajo 4">
          <a:extLst>
            <a:ext uri="{FF2B5EF4-FFF2-40B4-BE49-F238E27FC236}">
              <a16:creationId xmlns:a16="http://schemas.microsoft.com/office/drawing/2014/main" id="{79FB5B76-C34B-43DB-9EE6-2F6F017DD2F1}"/>
            </a:ext>
          </a:extLst>
        </xdr:cNvPr>
        <xdr:cNvSpPr/>
      </xdr:nvSpPr>
      <xdr:spPr bwMode="auto">
        <a:xfrm>
          <a:off x="12656343"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166687</xdr:colOff>
      <xdr:row>19</xdr:row>
      <xdr:rowOff>123825</xdr:rowOff>
    </xdr:from>
    <xdr:ext cx="3964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000-00000400000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𝐸𝑗𝑒𝑐𝑢𝑡𝑎𝑑𝑜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449E9B7-4206-4374-9C84-5081111D0EE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𝐸𝑗𝑒𝑐𝑢𝑡𝑎𝑑𝑜 𝑑𝑒 𝑐𝑎𝑗𝑎 𝑚𝑒𝑛𝑜𝑟 )/(𝑉2 𝑣𝑎𝑙𝑜𝑟 𝑝𝑟𝑒𝑠𝑢𝑝𝑢𝑒𝑠𝑡𝑜 𝑎𝑠𝑖𝑔𝑛𝑎𝑑𝑜 𝑑𝑒 𝑐𝑎𝑗𝑎 𝑚𝑒𝑛𝑜𝑟)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7FC4E02B-4E96-4049-8D80-B747DD2A6149}"/>
            </a:ext>
          </a:extLst>
        </xdr:cNvPr>
        <xdr:cNvSpPr/>
      </xdr:nvSpPr>
      <xdr:spPr bwMode="auto">
        <a:xfrm>
          <a:off x="12584906"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9334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100-000004000000}"/>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𝑝𝑟𝑒𝑠𝑒𝑛𝑡𝑎𝑑𝑎𝑠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933DB6A-F167-46C2-9706-2FEC44048921}"/>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𝐷𝑒𝑐𝑙𝑎𝑟𝑎𝑐𝑖𝑜𝑛𝑒𝑠 𝑝𝑟𝑒𝑠𝑒𝑛𝑡𝑎𝑑𝑎𝑠)/(𝑉2 𝑇𝑜𝑡𝑎𝑙 𝑑𝑒𝑐𝑙𝑎𝑟𝑎𝑐𝑖𝑜𝑛𝑒𝑠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8135021E-8B32-443F-B34F-5DFF6BFA2C9C}"/>
            </a:ext>
          </a:extLst>
        </xdr:cNvPr>
        <xdr:cNvSpPr/>
      </xdr:nvSpPr>
      <xdr:spPr bwMode="auto">
        <a:xfrm>
          <a:off x="12584906"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7266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200-000004000000}"/>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C767B64-CDA1-4F01-AB40-89BB80D42132}"/>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𝑟𝑒𝑎𝑙𝑖𝑧𝑎𝑑𝑎𝑠 )/(𝑉2 𝐶𝑜𝑛𝑐𝑖𝑙𝑖𝑎𝑐𝑖𝑜𝑛𝑒𝑠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166687</xdr:colOff>
      <xdr:row>0</xdr:row>
      <xdr:rowOff>238125</xdr:rowOff>
    </xdr:from>
    <xdr:to>
      <xdr:col>37</xdr:col>
      <xdr:colOff>285750</xdr:colOff>
      <xdr:row>2</xdr:row>
      <xdr:rowOff>59530</xdr:rowOff>
    </xdr:to>
    <xdr:sp macro="" textlink="">
      <xdr:nvSpPr>
        <xdr:cNvPr id="5" name="Flecha: hacia abajo 4">
          <a:extLst>
            <a:ext uri="{FF2B5EF4-FFF2-40B4-BE49-F238E27FC236}">
              <a16:creationId xmlns:a16="http://schemas.microsoft.com/office/drawing/2014/main" id="{82DFC7FD-7766-4868-8B11-C4FCBF3398E3}"/>
            </a:ext>
          </a:extLst>
        </xdr:cNvPr>
        <xdr:cNvSpPr/>
      </xdr:nvSpPr>
      <xdr:spPr bwMode="auto">
        <a:xfrm>
          <a:off x="12632531"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300-000004000000}"/>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𝑜𝑏𝑙𝑖𝑔𝑎𝑑𝑜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5ACFDA0-D3A7-4160-9A6C-25387D3A6C95}"/>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𝑝𝑟𝑒𝑠𝑢𝑝𝑢𝑒𝑠𝑡𝑜 𝑜𝑏𝑙𝑖𝑔𝑎𝑑𝑜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238125</xdr:rowOff>
    </xdr:from>
    <xdr:to>
      <xdr:col>37</xdr:col>
      <xdr:colOff>226219</xdr:colOff>
      <xdr:row>2</xdr:row>
      <xdr:rowOff>59530</xdr:rowOff>
    </xdr:to>
    <xdr:sp macro="" textlink="">
      <xdr:nvSpPr>
        <xdr:cNvPr id="5" name="Flecha: hacia abajo 4">
          <a:extLst>
            <a:ext uri="{FF2B5EF4-FFF2-40B4-BE49-F238E27FC236}">
              <a16:creationId xmlns:a16="http://schemas.microsoft.com/office/drawing/2014/main" id="{3983141D-6B27-4D6D-9F31-19AF7CE0F43D}"/>
            </a:ext>
          </a:extLst>
        </xdr:cNvPr>
        <xdr:cNvSpPr/>
      </xdr:nvSpPr>
      <xdr:spPr bwMode="auto">
        <a:xfrm>
          <a:off x="12573000"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142875</xdr:colOff>
      <xdr:row>19</xdr:row>
      <xdr:rowOff>123825</xdr:rowOff>
    </xdr:from>
    <xdr:ext cx="370284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400-000004000000}"/>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𝑖𝑛𝑔𝑟𝑒𝑠𝑜𝑠</m:t>
                        </m:r>
                        <m:r>
                          <a:rPr lang="es-CO" sz="1100" b="0" i="1">
                            <a:latin typeface="Cambria Math" panose="02040503050406030204" pitchFamily="18" charset="0"/>
                          </a:rPr>
                          <m:t> </m:t>
                        </m:r>
                        <m:r>
                          <a:rPr lang="es-CO" sz="1100" b="0" i="1">
                            <a:latin typeface="Cambria Math" panose="02040503050406030204" pitchFamily="18" charset="0"/>
                          </a:rPr>
                          <m:t>𝑟𝑒𝑐𝑎𝑢𝑑𝑎𝑑𝑜𝑠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1A56377-8960-4060-A638-372A09DF9263}"/>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𝑖𝑛𝑔𝑟𝑒𝑠𝑜𝑠 𝑟𝑒𝑐𝑎𝑢𝑑𝑎𝑑𝑜𝑠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0</xdr:row>
      <xdr:rowOff>226218</xdr:rowOff>
    </xdr:from>
    <xdr:to>
      <xdr:col>37</xdr:col>
      <xdr:colOff>214313</xdr:colOff>
      <xdr:row>2</xdr:row>
      <xdr:rowOff>47623</xdr:rowOff>
    </xdr:to>
    <xdr:sp macro="" textlink="">
      <xdr:nvSpPr>
        <xdr:cNvPr id="5" name="Flecha: hacia abajo 4">
          <a:extLst>
            <a:ext uri="{FF2B5EF4-FFF2-40B4-BE49-F238E27FC236}">
              <a16:creationId xmlns:a16="http://schemas.microsoft.com/office/drawing/2014/main" id="{E459D6B2-3979-4274-8AB5-4F8515452001}"/>
            </a:ext>
          </a:extLst>
        </xdr:cNvPr>
        <xdr:cNvSpPr/>
      </xdr:nvSpPr>
      <xdr:spPr bwMode="auto">
        <a:xfrm>
          <a:off x="12561094"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1B6CBEB-671E-4E8E-970F-31858A9E11DB}"/>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297657</xdr:colOff>
      <xdr:row>0</xdr:row>
      <xdr:rowOff>238125</xdr:rowOff>
    </xdr:from>
    <xdr:to>
      <xdr:col>36</xdr:col>
      <xdr:colOff>321469</xdr:colOff>
      <xdr:row>2</xdr:row>
      <xdr:rowOff>59530</xdr:rowOff>
    </xdr:to>
    <xdr:sp macro="" textlink="">
      <xdr:nvSpPr>
        <xdr:cNvPr id="5" name="Flecha: hacia abajo 4">
          <a:extLst>
            <a:ext uri="{FF2B5EF4-FFF2-40B4-BE49-F238E27FC236}">
              <a16:creationId xmlns:a16="http://schemas.microsoft.com/office/drawing/2014/main" id="{0E21ACBF-15FD-41E5-8543-F07B3944B902}"/>
            </a:ext>
          </a:extLst>
        </xdr:cNvPr>
        <xdr:cNvSpPr/>
      </xdr:nvSpPr>
      <xdr:spPr bwMode="auto">
        <a:xfrm>
          <a:off x="12501563"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6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8A33D6-01FB-433A-BAA2-803D8650BD4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0</xdr:row>
      <xdr:rowOff>226219</xdr:rowOff>
    </xdr:from>
    <xdr:to>
      <xdr:col>37</xdr:col>
      <xdr:colOff>250031</xdr:colOff>
      <xdr:row>2</xdr:row>
      <xdr:rowOff>47624</xdr:rowOff>
    </xdr:to>
    <xdr:sp macro="" textlink="">
      <xdr:nvSpPr>
        <xdr:cNvPr id="5" name="Flecha: hacia abajo 4">
          <a:extLst>
            <a:ext uri="{FF2B5EF4-FFF2-40B4-BE49-F238E27FC236}">
              <a16:creationId xmlns:a16="http://schemas.microsoft.com/office/drawing/2014/main" id="{5A309FEC-55D0-4089-B773-C951B3FEE895}"/>
            </a:ext>
          </a:extLst>
        </xdr:cNvPr>
        <xdr:cNvSpPr/>
      </xdr:nvSpPr>
      <xdr:spPr bwMode="auto">
        <a:xfrm>
          <a:off x="12596812"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5</xdr:col>
      <xdr:colOff>142877</xdr:colOff>
      <xdr:row>25</xdr:row>
      <xdr:rowOff>52918</xdr:rowOff>
    </xdr:from>
    <xdr:to>
      <xdr:col>23</xdr:col>
      <xdr:colOff>130952</xdr:colOff>
      <xdr:row>37</xdr:row>
      <xdr:rowOff>74082</xdr:rowOff>
    </xdr:to>
    <xdr:graphicFrame macro="">
      <xdr:nvGraphicFramePr>
        <xdr:cNvPr id="2" name="Gráfico 3">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𝑚𝑎𝑛𝑡𝑒𝑛𝑖𝑚𝑖𝑒𝑛𝑡𝑜𝑠 𝑟𝑒𝑎𝑙𝑖𝑧𝑎𝑑𝑜𝑠)/(𝑉2 𝑡𝑜𝑡𝑎𝑙 𝑚𝑎𝑛𝑡𝑒𝑛𝑖𝑚𝑖𝑒𝑛𝑡𝑜𝑠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226219</xdr:rowOff>
    </xdr:from>
    <xdr:to>
      <xdr:col>37</xdr:col>
      <xdr:colOff>309563</xdr:colOff>
      <xdr:row>2</xdr:row>
      <xdr:rowOff>47624</xdr:rowOff>
    </xdr:to>
    <xdr:sp macro="" textlink="">
      <xdr:nvSpPr>
        <xdr:cNvPr id="5" name="Flecha: hacia abajo 4">
          <a:extLst>
            <a:ext uri="{FF2B5EF4-FFF2-40B4-BE49-F238E27FC236}">
              <a16:creationId xmlns:a16="http://schemas.microsoft.com/office/drawing/2014/main" id="{B516BBE4-FDBA-42B7-8969-7053F2F2F34D}"/>
            </a:ext>
          </a:extLst>
        </xdr:cNvPr>
        <xdr:cNvSpPr/>
      </xdr:nvSpPr>
      <xdr:spPr bwMode="auto">
        <a:xfrm>
          <a:off x="1265634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404812</xdr:colOff>
      <xdr:row>0</xdr:row>
      <xdr:rowOff>226219</xdr:rowOff>
    </xdr:from>
    <xdr:to>
      <xdr:col>36</xdr:col>
      <xdr:colOff>404812</xdr:colOff>
      <xdr:row>2</xdr:row>
      <xdr:rowOff>47624</xdr:rowOff>
    </xdr:to>
    <xdr:sp macro="" textlink="">
      <xdr:nvSpPr>
        <xdr:cNvPr id="5" name="Flecha: hacia abajo 4">
          <a:extLst>
            <a:ext uri="{FF2B5EF4-FFF2-40B4-BE49-F238E27FC236}">
              <a16:creationId xmlns:a16="http://schemas.microsoft.com/office/drawing/2014/main" id="{13C87DCD-3B62-47DE-BC44-1AB53CD36B03}"/>
            </a:ext>
          </a:extLst>
        </xdr:cNvPr>
        <xdr:cNvSpPr/>
      </xdr:nvSpPr>
      <xdr:spPr bwMode="auto">
        <a:xfrm>
          <a:off x="12632531"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9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226219</xdr:rowOff>
    </xdr:from>
    <xdr:to>
      <xdr:col>37</xdr:col>
      <xdr:colOff>309563</xdr:colOff>
      <xdr:row>2</xdr:row>
      <xdr:rowOff>47624</xdr:rowOff>
    </xdr:to>
    <xdr:sp macro="" textlink="">
      <xdr:nvSpPr>
        <xdr:cNvPr id="5" name="Flecha: hacia abajo 4">
          <a:extLst>
            <a:ext uri="{FF2B5EF4-FFF2-40B4-BE49-F238E27FC236}">
              <a16:creationId xmlns:a16="http://schemas.microsoft.com/office/drawing/2014/main" id="{12FBA1C2-2B0D-47C4-9C24-76A3957C3944}"/>
            </a:ext>
          </a:extLst>
        </xdr:cNvPr>
        <xdr:cNvSpPr/>
      </xdr:nvSpPr>
      <xdr:spPr bwMode="auto">
        <a:xfrm>
          <a:off x="1265634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A00-000004000000}"/>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E12DBBE-DF09-4907-A093-9D2C1D4E9C8B}"/>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𝑐𝑜𝑛𝑠𝑡𝑟𝑢𝑐𝑐𝑖𝑜𝑛𝑒𝑠 𝑟𝑒𝑎𝑙𝑖𝑧𝑎𝑑𝑎𝑠)/(𝑉2 𝑡𝑜𝑡𝑎𝑙 𝑐𝑜𝑛𝑠𝑡𝑟𝑢𝑐𝑐𝑖𝑜𝑛𝑒𝑠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107155</xdr:colOff>
      <xdr:row>0</xdr:row>
      <xdr:rowOff>214313</xdr:rowOff>
    </xdr:from>
    <xdr:to>
      <xdr:col>37</xdr:col>
      <xdr:colOff>226218</xdr:colOff>
      <xdr:row>2</xdr:row>
      <xdr:rowOff>35718</xdr:rowOff>
    </xdr:to>
    <xdr:sp macro="" textlink="">
      <xdr:nvSpPr>
        <xdr:cNvPr id="5" name="Flecha: hacia abajo 4">
          <a:extLst>
            <a:ext uri="{FF2B5EF4-FFF2-40B4-BE49-F238E27FC236}">
              <a16:creationId xmlns:a16="http://schemas.microsoft.com/office/drawing/2014/main" id="{AA856ADF-C4BB-47D8-A8EF-F60EEE760EC2}"/>
            </a:ext>
          </a:extLst>
        </xdr:cNvPr>
        <xdr:cNvSpPr/>
      </xdr:nvSpPr>
      <xdr:spPr bwMode="auto">
        <a:xfrm>
          <a:off x="12572999"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23811</xdr:colOff>
      <xdr:row>19</xdr:row>
      <xdr:rowOff>123825</xdr:rowOff>
    </xdr:from>
    <xdr:ext cx="3583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B00-000004000000}"/>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4A94114-4720-4DFC-86CD-1A461E00C2DD}"/>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𝑏𝑖𝑒𝑛𝑒𝑠𝑡𝑎𝑟 𝑟𝑒𝑎𝑙𝑖𝑧𝑎𝑑𝑎𝑠 )/(𝑉2 𝑎𝑐𝑡𝑖𝑣𝑖𝑑𝑎𝑑𝑒𝑠 𝑏𝑖𝑒𝑛𝑒𝑠𝑡𝑎𝑟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790BD829-009E-417E-861C-43D8C3BEBF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68035</xdr:colOff>
      <xdr:row>0</xdr:row>
      <xdr:rowOff>231321</xdr:rowOff>
    </xdr:from>
    <xdr:to>
      <xdr:col>37</xdr:col>
      <xdr:colOff>190500</xdr:colOff>
      <xdr:row>2</xdr:row>
      <xdr:rowOff>45922</xdr:rowOff>
    </xdr:to>
    <xdr:sp macro="" textlink="">
      <xdr:nvSpPr>
        <xdr:cNvPr id="6" name="Flecha: hacia abajo 5">
          <a:extLst>
            <a:ext uri="{FF2B5EF4-FFF2-40B4-BE49-F238E27FC236}">
              <a16:creationId xmlns:a16="http://schemas.microsoft.com/office/drawing/2014/main" id="{CC15E721-743F-4C23-8D2D-4593E9B26B1B}"/>
            </a:ext>
          </a:extLst>
        </xdr:cNvPr>
        <xdr:cNvSpPr/>
      </xdr:nvSpPr>
      <xdr:spPr bwMode="auto">
        <a:xfrm>
          <a:off x="12518571" y="23132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71437</xdr:colOff>
      <xdr:row>19</xdr:row>
      <xdr:rowOff>123825</xdr:rowOff>
    </xdr:from>
    <xdr:ext cx="35361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C00-000004000000}"/>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𝑇𝑜𝑡𝑎𝑙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𝑝𝑙𝑎𝑛𝑒𝑎𝑑𝑎𝑠</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FB9F885-30A0-4936-966C-D3BA6695A85A}"/>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𝑐𝑎𝑝𝑎𝑐𝑖𝑡𝑎𝑐𝑖𝑜𝑛𝑒𝑠 𝑟𝑒𝑎𝑙𝑖𝑧𝑎𝑑𝑎𝑠)/(𝑉2 𝑇𝑜𝑡𝑎𝑙 𝑐𝑎𝑝𝑎𝑐𝑖𝑡𝑎𝑐𝑖𝑜𝑛𝑒𝑠 𝑝𝑙𝑎𝑛𝑒𝑎𝑑𝑎𝑠)×100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C7571EEB-80AB-42AF-9063-E037C3F80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95250</xdr:colOff>
      <xdr:row>1</xdr:row>
      <xdr:rowOff>-1</xdr:rowOff>
    </xdr:from>
    <xdr:to>
      <xdr:col>37</xdr:col>
      <xdr:colOff>214313</xdr:colOff>
      <xdr:row>2</xdr:row>
      <xdr:rowOff>83342</xdr:rowOff>
    </xdr:to>
    <xdr:sp macro="" textlink="">
      <xdr:nvSpPr>
        <xdr:cNvPr id="6" name="Flecha: hacia abajo 5">
          <a:extLst>
            <a:ext uri="{FF2B5EF4-FFF2-40B4-BE49-F238E27FC236}">
              <a16:creationId xmlns:a16="http://schemas.microsoft.com/office/drawing/2014/main" id="{E814FE73-A1C1-4E2E-A3BD-3945EAF1F38B}"/>
            </a:ext>
          </a:extLst>
        </xdr:cNvPr>
        <xdr:cNvSpPr/>
      </xdr:nvSpPr>
      <xdr:spPr bwMode="auto">
        <a:xfrm>
          <a:off x="12561094" y="261937"/>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7903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D00-000004000000}"/>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&gt;50 %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63EB7A0-5119-4884-BA98-4F6295036A6B}"/>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𝑐𝑎𝑙𝑖𝑓𝑖𝑐𝑎𝑑𝑎𝑠&gt;50 %)/(𝑉2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4AB1F278-0F2B-45B7-A7AC-9FB8A2450F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59530</xdr:colOff>
      <xdr:row>0</xdr:row>
      <xdr:rowOff>238125</xdr:rowOff>
    </xdr:from>
    <xdr:to>
      <xdr:col>37</xdr:col>
      <xdr:colOff>178593</xdr:colOff>
      <xdr:row>2</xdr:row>
      <xdr:rowOff>59530</xdr:rowOff>
    </xdr:to>
    <xdr:sp macro="" textlink="">
      <xdr:nvSpPr>
        <xdr:cNvPr id="6" name="Flecha: hacia abajo 5">
          <a:extLst>
            <a:ext uri="{FF2B5EF4-FFF2-40B4-BE49-F238E27FC236}">
              <a16:creationId xmlns:a16="http://schemas.microsoft.com/office/drawing/2014/main" id="{42CE5DE3-E3A1-41FD-9176-8D25055D4D08}"/>
            </a:ext>
          </a:extLst>
        </xdr:cNvPr>
        <xdr:cNvSpPr/>
      </xdr:nvSpPr>
      <xdr:spPr bwMode="auto">
        <a:xfrm>
          <a:off x="12525374"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5</xdr:col>
      <xdr:colOff>142877</xdr:colOff>
      <xdr:row>25</xdr:row>
      <xdr:rowOff>121709</xdr:rowOff>
    </xdr:from>
    <xdr:to>
      <xdr:col>23</xdr:col>
      <xdr:colOff>130952</xdr:colOff>
      <xdr:row>37</xdr:row>
      <xdr:rowOff>142874</xdr:rowOff>
    </xdr:to>
    <xdr:graphicFrame macro="">
      <xdr:nvGraphicFramePr>
        <xdr:cNvPr id="2" name="Gráfico 3">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107155</xdr:colOff>
      <xdr:row>19</xdr:row>
      <xdr:rowOff>314325</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E00-000004000000}"/>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F9EF1200-9B05-45B2-A752-760619A5F1D8}"/>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𝑒𝑛𝑐𝑢𝑒𝑠𝑡𝑎𝑠 𝑐𝑎𝑙𝑖𝑓𝑖𝑐𝑎𝑑𝑎𝑠 𝐸𝑥𝑐𝑒𝑙𝑒𝑛𝑡𝑒 𝑦 𝐵𝑢𝑒𝑛𝑜)/(𝑉2 𝑡𝑜𝑡𝑎𝑙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59531</xdr:colOff>
      <xdr:row>0</xdr:row>
      <xdr:rowOff>226218</xdr:rowOff>
    </xdr:from>
    <xdr:to>
      <xdr:col>37</xdr:col>
      <xdr:colOff>178594</xdr:colOff>
      <xdr:row>2</xdr:row>
      <xdr:rowOff>47623</xdr:rowOff>
    </xdr:to>
    <xdr:sp macro="" textlink="">
      <xdr:nvSpPr>
        <xdr:cNvPr id="5" name="Flecha: hacia abajo 4">
          <a:extLst>
            <a:ext uri="{FF2B5EF4-FFF2-40B4-BE49-F238E27FC236}">
              <a16:creationId xmlns:a16="http://schemas.microsoft.com/office/drawing/2014/main" id="{96FBE9C9-EA31-4CD2-8ADD-FF78630B0652}"/>
            </a:ext>
          </a:extLst>
        </xdr:cNvPr>
        <xdr:cNvSpPr/>
      </xdr:nvSpPr>
      <xdr:spPr bwMode="auto">
        <a:xfrm>
          <a:off x="12525375"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5</xdr:col>
      <xdr:colOff>190502</xdr:colOff>
      <xdr:row>25</xdr:row>
      <xdr:rowOff>50271</xdr:rowOff>
    </xdr:from>
    <xdr:to>
      <xdr:col>23</xdr:col>
      <xdr:colOff>178577</xdr:colOff>
      <xdr:row>37</xdr:row>
      <xdr:rowOff>202404</xdr:rowOff>
    </xdr:to>
    <xdr:graphicFrame macro="">
      <xdr:nvGraphicFramePr>
        <xdr:cNvPr id="2" name="Gráfico 3">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2</xdr:row>
      <xdr:rowOff>272522</xdr:rowOff>
    </xdr:to>
    <xdr:pic>
      <xdr:nvPicPr>
        <xdr:cNvPr id="3" name="Imagen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xdr:colOff>
      <xdr:row>19</xdr:row>
      <xdr:rowOff>314326</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F00-000004000000}"/>
                </a:ext>
              </a:extLst>
            </xdr:cNvPr>
            <xdr:cNvSpPr txBox="1"/>
          </xdr:nvSpPr>
          <xdr:spPr>
            <a:xfrm>
              <a:off x="4667250" y="4505326"/>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F00-000004000000}"/>
                </a:ext>
              </a:extLst>
            </xdr:cNvPr>
            <xdr:cNvSpPr txBox="1"/>
          </xdr:nvSpPr>
          <xdr:spPr>
            <a:xfrm>
              <a:off x="4667250" y="4505326"/>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𝑃𝑄𝑅 𝑔𝑒𝑠𝑡𝑖𝑜𝑛𝑎𝑑𝑜𝑠 𝑜𝑝𝑜𝑟𝑡𝑢𝑛𝑎𝑚𝑒𝑛𝑡𝑒)/(𝑉2 𝑇𝑜𝑡𝑎𝑙 𝑃𝑄𝑅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1</xdr:row>
      <xdr:rowOff>11905</xdr:rowOff>
    </xdr:from>
    <xdr:to>
      <xdr:col>37</xdr:col>
      <xdr:colOff>214313</xdr:colOff>
      <xdr:row>2</xdr:row>
      <xdr:rowOff>95248</xdr:rowOff>
    </xdr:to>
    <xdr:sp macro="" textlink="">
      <xdr:nvSpPr>
        <xdr:cNvPr id="5" name="Flecha: hacia abajo 4">
          <a:extLst>
            <a:ext uri="{FF2B5EF4-FFF2-40B4-BE49-F238E27FC236}">
              <a16:creationId xmlns:a16="http://schemas.microsoft.com/office/drawing/2014/main" id="{9B1E45FB-2617-4E52-A946-E9EC480037FB}"/>
            </a:ext>
          </a:extLst>
        </xdr:cNvPr>
        <xdr:cNvSpPr/>
      </xdr:nvSpPr>
      <xdr:spPr bwMode="auto">
        <a:xfrm>
          <a:off x="12561094" y="27384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980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000-000004000000}"/>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 </m:t>
                        </m:r>
                        <m:r>
                          <a:rPr lang="es-CO" sz="1100" b="0" i="1">
                            <a:latin typeface="Cambria Math" panose="02040503050406030204" pitchFamily="18" charset="0"/>
                          </a:rPr>
                          <m:t>𝑟𝑒𝑎𝑙𝑖𝑧𝑎𝑟</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D4D839D-B2E9-4A6E-98F8-1E68CEC518C1}"/>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𝑒𝑗𝑒𝑐𝑢𝑡𝑎𝑑𝑎𝑠)/(𝑉2 𝑡𝑜𝑡𝑎𝑙 𝑎𝑐𝑡𝑖𝑣𝑖𝑑𝑎𝑑𝑒𝑠 𝑎 𝑟𝑒𝑎𝑙𝑖𝑧𝑎𝑟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261938</xdr:colOff>
      <xdr:row>0</xdr:row>
      <xdr:rowOff>214312</xdr:rowOff>
    </xdr:from>
    <xdr:to>
      <xdr:col>37</xdr:col>
      <xdr:colOff>23813</xdr:colOff>
      <xdr:row>2</xdr:row>
      <xdr:rowOff>35717</xdr:rowOff>
    </xdr:to>
    <xdr:sp macro="" textlink="">
      <xdr:nvSpPr>
        <xdr:cNvPr id="5" name="Flecha: hacia abajo 4">
          <a:extLst>
            <a:ext uri="{FF2B5EF4-FFF2-40B4-BE49-F238E27FC236}">
              <a16:creationId xmlns:a16="http://schemas.microsoft.com/office/drawing/2014/main" id="{4F4201BD-35E6-4110-A84B-D2299C657AD1}"/>
            </a:ext>
          </a:extLst>
        </xdr:cNvPr>
        <xdr:cNvSpPr/>
      </xdr:nvSpPr>
      <xdr:spPr bwMode="auto">
        <a:xfrm>
          <a:off x="12370594" y="21431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0</xdr:colOff>
      <xdr:row>19</xdr:row>
      <xdr:rowOff>111919</xdr:rowOff>
    </xdr:from>
    <xdr:ext cx="398859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100-000004000000}"/>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𝐸𝑗𝑒𝑐𝑢𝑐𝑖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6F9C6E8-6279-46FE-9A58-408E7CD0B84D}"/>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(𝑉1𝐸𝑗𝑒𝑐𝑢𝑐𝑖ó𝑛 𝑝𝑟𝑒𝑠𝑢𝑝𝑢𝑒𝑠𝑡𝑜 𝑚𝑎𝑛𝑡𝑒𝑛𝑖𝑚𝑖𝑒𝑛𝑡𝑜 𝑐𝑢𝑜𝑡𝑎 𝑢𝑠𝑢𝑎𝑟𝑖𝑜)/(𝑉2 𝑝𝑟𝑒𝑠𝑢𝑝𝑢𝑒𝑠𝑡𝑜 𝑎𝑠𝑖𝑔𝑛𝑎𝑑𝑜 𝑚𝑎𝑛𝑡𝑒𝑛𝑖𝑚𝑖𝑒𝑛𝑡𝑜 𝑐𝑢𝑜𝑡𝑎 𝑢𝑠𝑢𝑎𝑟𝑖𝑜)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130968</xdr:colOff>
      <xdr:row>0</xdr:row>
      <xdr:rowOff>226219</xdr:rowOff>
    </xdr:from>
    <xdr:to>
      <xdr:col>36</xdr:col>
      <xdr:colOff>250030</xdr:colOff>
      <xdr:row>2</xdr:row>
      <xdr:rowOff>47624</xdr:rowOff>
    </xdr:to>
    <xdr:sp macro="" textlink="">
      <xdr:nvSpPr>
        <xdr:cNvPr id="5" name="Flecha: hacia abajo 4">
          <a:extLst>
            <a:ext uri="{FF2B5EF4-FFF2-40B4-BE49-F238E27FC236}">
              <a16:creationId xmlns:a16="http://schemas.microsoft.com/office/drawing/2014/main" id="{685F5736-0524-431F-B6BC-86C5D09F3979}"/>
            </a:ext>
          </a:extLst>
        </xdr:cNvPr>
        <xdr:cNvSpPr/>
      </xdr:nvSpPr>
      <xdr:spPr bwMode="auto">
        <a:xfrm>
          <a:off x="1223962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r>
                          <a:rPr lang="es-CO" sz="1100" b="0" i="1">
                            <a:latin typeface="Cambria Math" panose="02040503050406030204" pitchFamily="18" charset="0"/>
                          </a:rPr>
                          <m:t>𝑑𝑒𝑠𝑜𝑐𝑢𝑝𝑎𝑑𝑎𝑠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BA356AD-B556-486A-9606-0BF90E14650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𝑉𝑖𝑣𝑖𝑒𝑛𝑑𝑎𝑠 𝑑𝑒𝑠𝑜𝑐𝑢𝑝𝑎𝑑𝑎𝑠 )/(𝑉2 𝑇𝑜𝑡𝑎𝑙 𝑑𝑒 𝑉𝑖𝑣𝑖𝑒𝑛𝑑𝑎𝑠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59531</xdr:colOff>
      <xdr:row>0</xdr:row>
      <xdr:rowOff>238125</xdr:rowOff>
    </xdr:from>
    <xdr:to>
      <xdr:col>37</xdr:col>
      <xdr:colOff>178594</xdr:colOff>
      <xdr:row>2</xdr:row>
      <xdr:rowOff>59530</xdr:rowOff>
    </xdr:to>
    <xdr:sp macro="" textlink="">
      <xdr:nvSpPr>
        <xdr:cNvPr id="6" name="Flecha: hacia abajo 5">
          <a:extLst>
            <a:ext uri="{FF2B5EF4-FFF2-40B4-BE49-F238E27FC236}">
              <a16:creationId xmlns:a16="http://schemas.microsoft.com/office/drawing/2014/main" id="{7257DBCB-4981-4428-BEF1-293935C00595}"/>
            </a:ext>
          </a:extLst>
        </xdr:cNvPr>
        <xdr:cNvSpPr/>
      </xdr:nvSpPr>
      <xdr:spPr bwMode="auto">
        <a:xfrm>
          <a:off x="12525375"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r>
                          <a:rPr lang="es-CO" sz="1100" b="0" i="1">
                            <a:latin typeface="Cambria Math" panose="02040503050406030204" pitchFamily="18" charset="0"/>
                          </a:rPr>
                          <m:t> </m:t>
                        </m:r>
                        <m:r>
                          <a:rPr lang="es-CO" sz="1100" b="0" i="1">
                            <a:latin typeface="Cambria Math" panose="02040503050406030204" pitchFamily="18" charset="0"/>
                          </a:rPr>
                          <m:t>𝑓𝑖𝑠𝑐𝑎𝑙</m:t>
                        </m:r>
                        <m:r>
                          <a:rPr lang="es-CO" sz="1100" b="0" i="1">
                            <a:latin typeface="Cambria Math" panose="02040503050406030204" pitchFamily="18" charset="0"/>
                          </a:rPr>
                          <m:t> </m:t>
                        </m:r>
                        <m:r>
                          <a:rPr lang="es-CO" sz="1100" b="0" i="1">
                            <a:latin typeface="Cambria Math" panose="02040503050406030204" pitchFamily="18" charset="0"/>
                          </a:rPr>
                          <m:t>𝐴𝑡𝑒𝑛𝑑𝑖𝑑𝑎𝑠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BC3F4C8-34C0-4859-9C6D-6E3E5AA6980E}"/>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𝑣𝑖𝑣𝑖𝑒𝑛𝑑𝑎 𝑓𝑖𝑠𝑐𝑎𝑙 𝐴𝑡𝑒𝑛𝑑𝑖𝑑𝑎𝑠  )/(𝑉2 𝑇𝑜𝑡𝑎𝑙 𝑆𝑜𝑙𝑖𝑐𝑖𝑡𝑢𝑑𝑒𝑠 𝑣𝑖𝑣𝑖𝑒𝑛𝑑𝑎)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107156</xdr:colOff>
      <xdr:row>0</xdr:row>
      <xdr:rowOff>250031</xdr:rowOff>
    </xdr:from>
    <xdr:to>
      <xdr:col>37</xdr:col>
      <xdr:colOff>226219</xdr:colOff>
      <xdr:row>2</xdr:row>
      <xdr:rowOff>71436</xdr:rowOff>
    </xdr:to>
    <xdr:sp macro="" textlink="">
      <xdr:nvSpPr>
        <xdr:cNvPr id="7" name="Flecha: hacia abajo 6">
          <a:extLst>
            <a:ext uri="{FF2B5EF4-FFF2-40B4-BE49-F238E27FC236}">
              <a16:creationId xmlns:a16="http://schemas.microsoft.com/office/drawing/2014/main" id="{AC3A75F8-ED91-49E9-8587-924253DA41B9}"/>
            </a:ext>
          </a:extLst>
        </xdr:cNvPr>
        <xdr:cNvSpPr/>
      </xdr:nvSpPr>
      <xdr:spPr bwMode="auto">
        <a:xfrm>
          <a:off x="12573000"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7.xml><?xml version="1.0" encoding="utf-8"?>
<xdr:wsDr xmlns:xdr="http://schemas.openxmlformats.org/drawingml/2006/spreadsheetDrawing" xmlns:a="http://schemas.openxmlformats.org/drawingml/2006/main">
  <xdr:twoCellAnchor editAs="absolute">
    <xdr:from>
      <xdr:col>5</xdr:col>
      <xdr:colOff>154783</xdr:colOff>
      <xdr:row>25</xdr:row>
      <xdr:rowOff>121709</xdr:rowOff>
    </xdr:from>
    <xdr:to>
      <xdr:col>23</xdr:col>
      <xdr:colOff>142858</xdr:colOff>
      <xdr:row>37</xdr:row>
      <xdr:rowOff>142874</xdr:rowOff>
    </xdr:to>
    <xdr:graphicFrame macro="">
      <xdr:nvGraphicFramePr>
        <xdr:cNvPr id="2" name="Gráfico 3">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385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400-000004000000}"/>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𝑠𝑜𝑙𝑖𝑐𝑖𝑡𝑎𝑑𝑜</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63E11FF-629D-4004-B93D-A371D67E976E}"/>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𝑑𝑒𝑠𝑐𝑢𝑒𝑛𝑡𝑜 𝑟𝑒𝑎𝑙𝑖𝑧𝑎𝑑𝑜    )/(𝑉2 𝑉𝑎𝑙𝑜𝑟 𝑑𝑒𝑙 𝑑𝑒𝑠𝑐𝑢𝑒𝑛𝑡𝑜 𝑠𝑜𝑙𝑖𝑐𝑖𝑡𝑎𝑑𝑜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214313</xdr:rowOff>
    </xdr:from>
    <xdr:to>
      <xdr:col>37</xdr:col>
      <xdr:colOff>226218</xdr:colOff>
      <xdr:row>2</xdr:row>
      <xdr:rowOff>35718</xdr:rowOff>
    </xdr:to>
    <xdr:sp macro="" textlink="">
      <xdr:nvSpPr>
        <xdr:cNvPr id="5" name="Flecha: hacia abajo 4">
          <a:extLst>
            <a:ext uri="{FF2B5EF4-FFF2-40B4-BE49-F238E27FC236}">
              <a16:creationId xmlns:a16="http://schemas.microsoft.com/office/drawing/2014/main" id="{0747D39D-2A0A-4AD0-A5FA-2514B76B4038}"/>
            </a:ext>
          </a:extLst>
        </xdr:cNvPr>
        <xdr:cNvSpPr/>
      </xdr:nvSpPr>
      <xdr:spPr bwMode="auto">
        <a:xfrm>
          <a:off x="12823031"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8.xml><?xml version="1.0" encoding="utf-8"?>
<xdr:wsDr xmlns:xdr="http://schemas.openxmlformats.org/drawingml/2006/spreadsheetDrawing" xmlns:a="http://schemas.openxmlformats.org/drawingml/2006/main">
  <xdr:twoCellAnchor editAs="absolute">
    <xdr:from>
      <xdr:col>5</xdr:col>
      <xdr:colOff>250031</xdr:colOff>
      <xdr:row>25</xdr:row>
      <xdr:rowOff>121704</xdr:rowOff>
    </xdr:from>
    <xdr:to>
      <xdr:col>23</xdr:col>
      <xdr:colOff>238106</xdr:colOff>
      <xdr:row>37</xdr:row>
      <xdr:rowOff>142869</xdr:rowOff>
    </xdr:to>
    <xdr:graphicFrame macro="">
      <xdr:nvGraphicFramePr>
        <xdr:cNvPr id="2" name="Gráfico 3">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23812</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500-00000400000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𝑝𝑎𝑔𝑎𝑑𝑜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𝑖𝑚𝑝𝑢𝑒𝑠𝑡𝑜</m:t>
                        </m:r>
                        <m:r>
                          <a:rPr lang="es-CO" sz="1100" b="0" i="1">
                            <a:latin typeface="Cambria Math" panose="02040503050406030204" pitchFamily="18" charset="0"/>
                          </a:rPr>
                          <m:t> </m:t>
                        </m:r>
                        <m:r>
                          <a:rPr lang="es-CO" sz="1100" b="0" i="1">
                            <a:latin typeface="Cambria Math" panose="02040503050406030204" pitchFamily="18" charset="0"/>
                          </a:rPr>
                          <m:t>𝑝𝑟𝑒𝑑𝑖𝑎𝑙</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8F017EE-5F86-4D05-A47A-884F1677E96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𝑝𝑎𝑔𝑎𝑑𝑜 𝑑𝑒𝑙 𝑖𝑚𝑝𝑢𝑒𝑠𝑡𝑜 𝑝𝑟𝑒𝑑𝑖𝑎𝑙     )/(𝑉2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47624</xdr:colOff>
      <xdr:row>0</xdr:row>
      <xdr:rowOff>238125</xdr:rowOff>
    </xdr:from>
    <xdr:to>
      <xdr:col>37</xdr:col>
      <xdr:colOff>59531</xdr:colOff>
      <xdr:row>2</xdr:row>
      <xdr:rowOff>59530</xdr:rowOff>
    </xdr:to>
    <xdr:sp macro="" textlink="">
      <xdr:nvSpPr>
        <xdr:cNvPr id="5" name="Flecha: hacia abajo 4">
          <a:extLst>
            <a:ext uri="{FF2B5EF4-FFF2-40B4-BE49-F238E27FC236}">
              <a16:creationId xmlns:a16="http://schemas.microsoft.com/office/drawing/2014/main" id="{A733D747-94E2-40CC-A849-5113E989CC45}"/>
            </a:ext>
          </a:extLst>
        </xdr:cNvPr>
        <xdr:cNvSpPr/>
      </xdr:nvSpPr>
      <xdr:spPr bwMode="auto">
        <a:xfrm>
          <a:off x="12549187"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9.xml><?xml version="1.0" encoding="utf-8"?>
<xdr:wsDr xmlns:xdr="http://schemas.openxmlformats.org/drawingml/2006/spreadsheetDrawing" xmlns:a="http://schemas.openxmlformats.org/drawingml/2006/main">
  <xdr:twoCellAnchor editAs="absolute">
    <xdr:from>
      <xdr:col>5</xdr:col>
      <xdr:colOff>178595</xdr:colOff>
      <xdr:row>25</xdr:row>
      <xdr:rowOff>121709</xdr:rowOff>
    </xdr:from>
    <xdr:to>
      <xdr:col>23</xdr:col>
      <xdr:colOff>166670</xdr:colOff>
      <xdr:row>37</xdr:row>
      <xdr:rowOff>142874</xdr:rowOff>
    </xdr:to>
    <xdr:graphicFrame macro="">
      <xdr:nvGraphicFramePr>
        <xdr:cNvPr id="2" name="Gráfico 3">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5046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600-000004000000}"/>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154D685-0275-4862-A41F-E0EA63CE160D}"/>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226218</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28490413-2B2D-4216-B3AD-C6DF7D98DECB}"/>
            </a:ext>
          </a:extLst>
        </xdr:cNvPr>
        <xdr:cNvSpPr/>
      </xdr:nvSpPr>
      <xdr:spPr bwMode="auto">
        <a:xfrm>
          <a:off x="12882562"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2190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700-000004000000}"/>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9ECC75-87F8-46E4-8750-D8917B8D8DA4}"/>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202407</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FFE40291-F918-4113-A0FA-148ED3DE973D}"/>
            </a:ext>
          </a:extLst>
        </xdr:cNvPr>
        <xdr:cNvSpPr/>
      </xdr:nvSpPr>
      <xdr:spPr bwMode="auto">
        <a:xfrm>
          <a:off x="12834938"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800-000004000000}"/>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5B67FDF-5991-4420-8969-86B35DD952D8}"/>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71437</xdr:colOff>
      <xdr:row>0</xdr:row>
      <xdr:rowOff>238125</xdr:rowOff>
    </xdr:from>
    <xdr:to>
      <xdr:col>37</xdr:col>
      <xdr:colOff>142875</xdr:colOff>
      <xdr:row>2</xdr:row>
      <xdr:rowOff>59530</xdr:rowOff>
    </xdr:to>
    <xdr:sp macro="" textlink="">
      <xdr:nvSpPr>
        <xdr:cNvPr id="5" name="Flecha: hacia abajo 4">
          <a:extLst>
            <a:ext uri="{FF2B5EF4-FFF2-40B4-BE49-F238E27FC236}">
              <a16:creationId xmlns:a16="http://schemas.microsoft.com/office/drawing/2014/main" id="{A3026DDC-0355-4B2A-86AC-68EE0B5CF2A5}"/>
            </a:ext>
          </a:extLst>
        </xdr:cNvPr>
        <xdr:cNvSpPr/>
      </xdr:nvSpPr>
      <xdr:spPr bwMode="auto">
        <a:xfrm>
          <a:off x="12632531"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2.xml><?xml version="1.0" encoding="utf-8"?>
<xdr:wsDr xmlns:xdr="http://schemas.openxmlformats.org/drawingml/2006/spreadsheetDrawing" xmlns:a="http://schemas.openxmlformats.org/drawingml/2006/main">
  <xdr:twoCellAnchor editAs="absolute">
    <xdr:from>
      <xdr:col>5</xdr:col>
      <xdr:colOff>142877</xdr:colOff>
      <xdr:row>24</xdr:row>
      <xdr:rowOff>109803</xdr:rowOff>
    </xdr:from>
    <xdr:to>
      <xdr:col>23</xdr:col>
      <xdr:colOff>130952</xdr:colOff>
      <xdr:row>36</xdr:row>
      <xdr:rowOff>95249</xdr:rowOff>
    </xdr:to>
    <xdr:graphicFrame macro="">
      <xdr:nvGraphicFramePr>
        <xdr:cNvPr id="2" name="Gráfico 3">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6953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900-000004000000}"/>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D9E785C-2F16-491A-9FD2-C984FD796194}"/>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154781</xdr:colOff>
      <xdr:row>1</xdr:row>
      <xdr:rowOff>-1</xdr:rowOff>
    </xdr:from>
    <xdr:to>
      <xdr:col>37</xdr:col>
      <xdr:colOff>273844</xdr:colOff>
      <xdr:row>2</xdr:row>
      <xdr:rowOff>83342</xdr:rowOff>
    </xdr:to>
    <xdr:sp macro="" textlink="">
      <xdr:nvSpPr>
        <xdr:cNvPr id="5" name="Flecha: hacia abajo 4">
          <a:extLst>
            <a:ext uri="{FF2B5EF4-FFF2-40B4-BE49-F238E27FC236}">
              <a16:creationId xmlns:a16="http://schemas.microsoft.com/office/drawing/2014/main" id="{1A596E7F-D719-49EE-9D50-6E534D323ACB}"/>
            </a:ext>
          </a:extLst>
        </xdr:cNvPr>
        <xdr:cNvSpPr/>
      </xdr:nvSpPr>
      <xdr:spPr bwMode="auto">
        <a:xfrm>
          <a:off x="12620625" y="261937"/>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3.xml><?xml version="1.0" encoding="utf-8"?>
<xdr:wsDr xmlns:xdr="http://schemas.openxmlformats.org/drawingml/2006/spreadsheetDrawing" xmlns:a="http://schemas.openxmlformats.org/drawingml/2006/main">
  <xdr:twoCellAnchor editAs="absolute">
    <xdr:from>
      <xdr:col>5</xdr:col>
      <xdr:colOff>202409</xdr:colOff>
      <xdr:row>25</xdr:row>
      <xdr:rowOff>193147</xdr:rowOff>
    </xdr:from>
    <xdr:to>
      <xdr:col>23</xdr:col>
      <xdr:colOff>190484</xdr:colOff>
      <xdr:row>37</xdr:row>
      <xdr:rowOff>214312</xdr:rowOff>
    </xdr:to>
    <xdr:graphicFrame macro="">
      <xdr:nvGraphicFramePr>
        <xdr:cNvPr id="2" name="Gráfico 3">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A00-000004000000}"/>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34859CF-ECF7-4B65-8315-CAA2DF54E358}"/>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35</xdr:col>
      <xdr:colOff>226219</xdr:colOff>
      <xdr:row>0</xdr:row>
      <xdr:rowOff>250032</xdr:rowOff>
    </xdr:from>
    <xdr:to>
      <xdr:col>36</xdr:col>
      <xdr:colOff>345281</xdr:colOff>
      <xdr:row>2</xdr:row>
      <xdr:rowOff>71437</xdr:rowOff>
    </xdr:to>
    <xdr:sp macro="" textlink="">
      <xdr:nvSpPr>
        <xdr:cNvPr id="5" name="Flecha: hacia abajo 4">
          <a:extLst>
            <a:ext uri="{FF2B5EF4-FFF2-40B4-BE49-F238E27FC236}">
              <a16:creationId xmlns:a16="http://schemas.microsoft.com/office/drawing/2014/main" id="{6668F409-7094-4529-AFFC-C9A0D151111F}"/>
            </a:ext>
          </a:extLst>
        </xdr:cNvPr>
        <xdr:cNvSpPr/>
      </xdr:nvSpPr>
      <xdr:spPr bwMode="auto">
        <a:xfrm>
          <a:off x="12334875"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35718</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B00-000004000000}"/>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𝑟𝑒𝑐𝑢𝑝𝑒𝑟𝑎𝑑𝑎</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𝑔𝑒𝑛𝑒𝑟𝑎𝑑𝑎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FD06120-6305-4F10-A1AC-9BB9BD25386A}"/>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𝑐𝑎𝑟𝑡𝑒𝑟𝑎 𝑟𝑒𝑐𝑢𝑝𝑒𝑟𝑎𝑑𝑎)/(𝑉2 𝑉𝑎𝑙𝑜𝑟 𝑐𝑎𝑟𝑡𝑒𝑟𝑎 𝑔𝑒𝑛𝑒𝑟𝑎𝑑𝑎)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261937</xdr:colOff>
      <xdr:row>0</xdr:row>
      <xdr:rowOff>226219</xdr:rowOff>
    </xdr:from>
    <xdr:to>
      <xdr:col>37</xdr:col>
      <xdr:colOff>250030</xdr:colOff>
      <xdr:row>2</xdr:row>
      <xdr:rowOff>47624</xdr:rowOff>
    </xdr:to>
    <xdr:sp macro="" textlink="">
      <xdr:nvSpPr>
        <xdr:cNvPr id="5" name="Flecha: hacia abajo 4">
          <a:extLst>
            <a:ext uri="{FF2B5EF4-FFF2-40B4-BE49-F238E27FC236}">
              <a16:creationId xmlns:a16="http://schemas.microsoft.com/office/drawing/2014/main" id="{0A173D07-794C-442A-BDA3-8639BB67EB98}"/>
            </a:ext>
          </a:extLst>
        </xdr:cNvPr>
        <xdr:cNvSpPr/>
      </xdr:nvSpPr>
      <xdr:spPr bwMode="auto">
        <a:xfrm>
          <a:off x="12989718"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C00-000004000000}"/>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𝑐𝑜𝑛𝑡𝑟𝑎𝑡𝑜𝑠</m:t>
                        </m:r>
                        <m:r>
                          <a:rPr lang="es-CO" sz="1100" b="0" i="1">
                            <a:latin typeface="Cambria Math" panose="02040503050406030204" pitchFamily="18" charset="0"/>
                          </a:rPr>
                          <m:t> </m:t>
                        </m:r>
                        <m:r>
                          <a:rPr lang="es-CO" sz="1100" b="0" i="1">
                            <a:latin typeface="Cambria Math" panose="02040503050406030204" pitchFamily="18" charset="0"/>
                          </a:rPr>
                          <m:t>𝑠𝑢𝑠𝑐𝑟𝑖𝑡𝑜𝑠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𝑎𝑛𝑢𝑎𝑙</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E4387E9-7444-4810-BFC7-314D57A3B4D4}"/>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𝑐𝑜𝑛𝑡𝑟𝑎𝑡𝑜𝑠 𝑠𝑢𝑠𝑐𝑟𝑖𝑡𝑜𝑠)/(𝑉2 𝑣𝑎𝑙𝑜𝑟 𝑝𝑟𝑒𝑠𝑢𝑝𝑢𝑒𝑠𝑡𝑜 𝑎𝑛𝑢𝑎𝑙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381000</xdr:colOff>
      <xdr:row>0</xdr:row>
      <xdr:rowOff>190500</xdr:rowOff>
    </xdr:from>
    <xdr:to>
      <xdr:col>37</xdr:col>
      <xdr:colOff>321468</xdr:colOff>
      <xdr:row>2</xdr:row>
      <xdr:rowOff>11905</xdr:rowOff>
    </xdr:to>
    <xdr:sp macro="" textlink="">
      <xdr:nvSpPr>
        <xdr:cNvPr id="6" name="Flecha: hacia abajo 5">
          <a:extLst>
            <a:ext uri="{FF2B5EF4-FFF2-40B4-BE49-F238E27FC236}">
              <a16:creationId xmlns:a16="http://schemas.microsoft.com/office/drawing/2014/main" id="{7495B6ED-0951-4A47-B9AF-D35F505095C9}"/>
            </a:ext>
          </a:extLst>
        </xdr:cNvPr>
        <xdr:cNvSpPr/>
      </xdr:nvSpPr>
      <xdr:spPr bwMode="auto">
        <a:xfrm>
          <a:off x="13204031" y="190500"/>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95250</xdr:colOff>
      <xdr:row>19</xdr:row>
      <xdr:rowOff>123825</xdr:rowOff>
    </xdr:from>
    <xdr:ext cx="38338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D00-000004000000}"/>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𝑐𝑒𝑙𝑒𝑏𝑟𝑎𝑑𝑜𝑠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𝑖𝑛𝑖𝑐𝑖𝑎𝑑𝑜𝑠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A7C32B9-BF6E-49BC-8032-8FB8AC40E285}"/>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𝑝𝑟𝑜𝑐𝑒𝑠𝑜𝑠 𝑐𝑒𝑙𝑒𝑏𝑟𝑎𝑑𝑜𝑠)/(𝑉2 𝑡𝑜𝑡𝑎𝑙 𝑝𝑟𝑜𝑐𝑒𝑠𝑜𝑠 𝑖𝑛𝑖𝑐𝑖𝑎𝑑𝑜𝑠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154780</xdr:colOff>
      <xdr:row>0</xdr:row>
      <xdr:rowOff>250032</xdr:rowOff>
    </xdr:from>
    <xdr:to>
      <xdr:col>37</xdr:col>
      <xdr:colOff>273843</xdr:colOff>
      <xdr:row>2</xdr:row>
      <xdr:rowOff>71437</xdr:rowOff>
    </xdr:to>
    <xdr:sp macro="" textlink="">
      <xdr:nvSpPr>
        <xdr:cNvPr id="6" name="Flecha: hacia abajo 5">
          <a:extLst>
            <a:ext uri="{FF2B5EF4-FFF2-40B4-BE49-F238E27FC236}">
              <a16:creationId xmlns:a16="http://schemas.microsoft.com/office/drawing/2014/main" id="{2B596B03-9B23-4706-A502-39F38B2D9A57}"/>
            </a:ext>
          </a:extLst>
        </xdr:cNvPr>
        <xdr:cNvSpPr/>
      </xdr:nvSpPr>
      <xdr:spPr bwMode="auto">
        <a:xfrm>
          <a:off x="12620624"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E00-000004000000}"/>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C0B594D-8666-4CB7-A7D3-02402BAEDDC4}"/>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𝑟𝑒𝑞𝑢𝑖𝑠𝑖𝑐𝑖𝑜𝑛𝑒𝑠 𝑟𝑒𝑎𝑙𝑖𝑧𝑎𝑑𝑎𝑠)/(𝑉2 𝑇𝑜𝑡𝑎𝑙 𝑟𝑒𝑞𝑢𝑖𝑠𝑖𝑐𝑖𝑜𝑛𝑒𝑠 𝑠𝑜𝑙𝑖𝑐𝑖𝑡𝑎𝑑𝑎𝑠)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142874</xdr:colOff>
      <xdr:row>0</xdr:row>
      <xdr:rowOff>214313</xdr:rowOff>
    </xdr:from>
    <xdr:to>
      <xdr:col>37</xdr:col>
      <xdr:colOff>261937</xdr:colOff>
      <xdr:row>2</xdr:row>
      <xdr:rowOff>35718</xdr:rowOff>
    </xdr:to>
    <xdr:sp macro="" textlink="">
      <xdr:nvSpPr>
        <xdr:cNvPr id="5" name="Flecha: hacia abajo 4">
          <a:extLst>
            <a:ext uri="{FF2B5EF4-FFF2-40B4-BE49-F238E27FC236}">
              <a16:creationId xmlns:a16="http://schemas.microsoft.com/office/drawing/2014/main" id="{80FB4B03-256E-424F-81D1-A8C43B2FDCB7}"/>
            </a:ext>
          </a:extLst>
        </xdr:cNvPr>
        <xdr:cNvSpPr/>
      </xdr:nvSpPr>
      <xdr:spPr bwMode="auto">
        <a:xfrm>
          <a:off x="12608718"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F00-000004000000}"/>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𝑝𝑎𝑟𝑎</m:t>
                        </m:r>
                        <m:r>
                          <a:rPr lang="es-CO" sz="1100" b="0" i="1">
                            <a:latin typeface="Cambria Math" panose="02040503050406030204" pitchFamily="18" charset="0"/>
                          </a:rPr>
                          <m:t> </m:t>
                        </m:r>
                        <m:r>
                          <a:rPr lang="es-CO" sz="1100" b="0" i="1">
                            <a:latin typeface="Cambria Math" panose="02040503050406030204" pitchFamily="18" charset="0"/>
                          </a:rPr>
                          <m:t>𝑙𝑎</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26D76BF-49EB-4B3D-906C-74E1F31943FE}"/>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𝑒𝑗𝑒𝑐𝑢𝑡𝑎𝑑𝑜 )/(𝑉2 𝑇𝑜𝑡𝑎𝑙 𝑝𝑟𝑒𝑠𝑢𝑝𝑢𝑒𝑠𝑡𝑜 𝑎𝑠𝑖𝑔𝑛𝑎𝑑𝑜 𝑝𝑎𝑟𝑎 𝑙𝑎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226219</xdr:rowOff>
    </xdr:from>
    <xdr:to>
      <xdr:col>37</xdr:col>
      <xdr:colOff>226219</xdr:colOff>
      <xdr:row>2</xdr:row>
      <xdr:rowOff>47624</xdr:rowOff>
    </xdr:to>
    <xdr:sp macro="" textlink="">
      <xdr:nvSpPr>
        <xdr:cNvPr id="5" name="Flecha: hacia abajo 4">
          <a:extLst>
            <a:ext uri="{FF2B5EF4-FFF2-40B4-BE49-F238E27FC236}">
              <a16:creationId xmlns:a16="http://schemas.microsoft.com/office/drawing/2014/main" id="{2C2EFA58-CB15-4AEE-BB40-FD294C6B66DC}"/>
            </a:ext>
          </a:extLst>
        </xdr:cNvPr>
        <xdr:cNvSpPr/>
      </xdr:nvSpPr>
      <xdr:spPr bwMode="auto">
        <a:xfrm>
          <a:off x="12573000"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0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1D39DA5-84C4-4EF5-9CEB-B36049C70802}"/>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 )/(𝑉2 𝑡𝑜𝑡𝑎𝑙 𝑎𝑐𝑡𝑖𝑣𝑖𝑑𝑎𝑑𝑒𝑠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95249</xdr:colOff>
      <xdr:row>0</xdr:row>
      <xdr:rowOff>250031</xdr:rowOff>
    </xdr:from>
    <xdr:to>
      <xdr:col>37</xdr:col>
      <xdr:colOff>214312</xdr:colOff>
      <xdr:row>2</xdr:row>
      <xdr:rowOff>71436</xdr:rowOff>
    </xdr:to>
    <xdr:sp macro="" textlink="">
      <xdr:nvSpPr>
        <xdr:cNvPr id="5" name="Flecha: hacia abajo 4">
          <a:extLst>
            <a:ext uri="{FF2B5EF4-FFF2-40B4-BE49-F238E27FC236}">
              <a16:creationId xmlns:a16="http://schemas.microsoft.com/office/drawing/2014/main" id="{31AA3D97-319C-44DD-9BAD-ADFD1ED6DDDC}"/>
            </a:ext>
          </a:extLst>
        </xdr:cNvPr>
        <xdr:cNvSpPr/>
      </xdr:nvSpPr>
      <xdr:spPr bwMode="auto">
        <a:xfrm>
          <a:off x="12561093"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111919</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−121−</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𝑒𝑛 𝐼𝐶𝐹𝐸-𝑃-121-𝑃-01)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23812</xdr:colOff>
      <xdr:row>0</xdr:row>
      <xdr:rowOff>214313</xdr:rowOff>
    </xdr:from>
    <xdr:to>
      <xdr:col>37</xdr:col>
      <xdr:colOff>95250</xdr:colOff>
      <xdr:row>2</xdr:row>
      <xdr:rowOff>35718</xdr:rowOff>
    </xdr:to>
    <xdr:sp macro="" textlink="">
      <xdr:nvSpPr>
        <xdr:cNvPr id="5" name="Flecha: hacia abajo 4">
          <a:extLst>
            <a:ext uri="{FF2B5EF4-FFF2-40B4-BE49-F238E27FC236}">
              <a16:creationId xmlns:a16="http://schemas.microsoft.com/office/drawing/2014/main" id="{846C9869-AC50-48C6-9ABC-2469B6AE3868}"/>
            </a:ext>
          </a:extLst>
        </xdr:cNvPr>
        <xdr:cNvSpPr/>
      </xdr:nvSpPr>
      <xdr:spPr bwMode="auto">
        <a:xfrm>
          <a:off x="12584906"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−120−</m:t>
                        </m:r>
                        <m:r>
                          <a:rPr lang="es-CO" sz="1100" b="0" i="1">
                            <a:solidFill>
                              <a:schemeClr val="tx1"/>
                            </a:solidFill>
                            <a:effectLst/>
                            <a:latin typeface="Cambria Math" panose="02040503050406030204" pitchFamily="18" charset="0"/>
                            <a:ea typeface="+mn-ea"/>
                            <a:cs typeface="+mn-cs"/>
                          </a:rPr>
                          <m:t>𝐹</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𝐼𝐶𝐹𝐸-𝑃-120-𝐹-01)×100</a:t>
              </a:r>
              <a:endParaRPr lang="es-CO" sz="1100"/>
            </a:p>
          </xdr:txBody>
        </xdr:sp>
      </mc:Fallback>
    </mc:AlternateContent>
    <xdr:clientData/>
  </xdr:oneCellAnchor>
  <xdr:twoCellAnchor>
    <xdr:from>
      <xdr:col>36</xdr:col>
      <xdr:colOff>190500</xdr:colOff>
      <xdr:row>0</xdr:row>
      <xdr:rowOff>250031</xdr:rowOff>
    </xdr:from>
    <xdr:to>
      <xdr:col>37</xdr:col>
      <xdr:colOff>261938</xdr:colOff>
      <xdr:row>2</xdr:row>
      <xdr:rowOff>71436</xdr:rowOff>
    </xdr:to>
    <xdr:sp macro="" textlink="">
      <xdr:nvSpPr>
        <xdr:cNvPr id="5" name="Flecha: hacia abajo 4">
          <a:extLst>
            <a:ext uri="{FF2B5EF4-FFF2-40B4-BE49-F238E27FC236}">
              <a16:creationId xmlns:a16="http://schemas.microsoft.com/office/drawing/2014/main" id="{5E5A29CD-36D1-4315-99B3-3E297CF69B99}"/>
            </a:ext>
          </a:extLst>
        </xdr:cNvPr>
        <xdr:cNvSpPr/>
      </xdr:nvSpPr>
      <xdr:spPr bwMode="auto">
        <a:xfrm>
          <a:off x="12751594"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−119−</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𝐼𝐶𝐹𝐸-𝑃-119-𝑃-01)×100</a:t>
              </a:r>
              <a:endParaRPr lang="es-CO" sz="1100"/>
            </a:p>
          </xdr:txBody>
        </xdr:sp>
      </mc:Fallback>
    </mc:AlternateContent>
    <xdr:clientData/>
  </xdr:oneCellAnchor>
  <xdr:twoCellAnchor>
    <xdr:from>
      <xdr:col>36</xdr:col>
      <xdr:colOff>178593</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95C4754E-D2B4-4F15-AE15-C0137D3689DF}"/>
            </a:ext>
          </a:extLst>
        </xdr:cNvPr>
        <xdr:cNvSpPr/>
      </xdr:nvSpPr>
      <xdr:spPr bwMode="auto">
        <a:xfrm>
          <a:off x="12739687"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xdr:colOff>
      <xdr:row>19</xdr:row>
      <xdr:rowOff>123825</xdr:rowOff>
    </xdr:from>
    <xdr:ext cx="392906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−118−</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𝐼𝐶𝐹𝐸-𝑃-118-𝑃-01)×100</a:t>
              </a:r>
              <a:endParaRPr lang="es-CO" sz="1100"/>
            </a:p>
          </xdr:txBody>
        </xdr:sp>
      </mc:Fallback>
    </mc:AlternateContent>
    <xdr:clientData/>
  </xdr:oneCellAnchor>
  <xdr:twoCellAnchor>
    <xdr:from>
      <xdr:col>36</xdr:col>
      <xdr:colOff>190499</xdr:colOff>
      <xdr:row>1</xdr:row>
      <xdr:rowOff>0</xdr:rowOff>
    </xdr:from>
    <xdr:to>
      <xdr:col>37</xdr:col>
      <xdr:colOff>261937</xdr:colOff>
      <xdr:row>2</xdr:row>
      <xdr:rowOff>83343</xdr:rowOff>
    </xdr:to>
    <xdr:sp macro="" textlink="">
      <xdr:nvSpPr>
        <xdr:cNvPr id="5" name="Flecha: hacia abajo 4">
          <a:extLst>
            <a:ext uri="{FF2B5EF4-FFF2-40B4-BE49-F238E27FC236}">
              <a16:creationId xmlns:a16="http://schemas.microsoft.com/office/drawing/2014/main" id="{30563BA6-A05F-41A9-A7F6-8FAE4C9BC983}"/>
            </a:ext>
          </a:extLst>
        </xdr:cNvPr>
        <xdr:cNvSpPr/>
      </xdr:nvSpPr>
      <xdr:spPr bwMode="auto">
        <a:xfrm>
          <a:off x="12751593"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47626</xdr:colOff>
      <xdr:row>19</xdr:row>
      <xdr:rowOff>107156</xdr:rowOff>
    </xdr:from>
    <xdr:ext cx="3643312" cy="345947"/>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−117−</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𝐼𝐶𝐹𝐸-𝑃-117-𝑃-01)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202406</xdr:colOff>
      <xdr:row>0</xdr:row>
      <xdr:rowOff>226218</xdr:rowOff>
    </xdr:from>
    <xdr:to>
      <xdr:col>37</xdr:col>
      <xdr:colOff>273844</xdr:colOff>
      <xdr:row>2</xdr:row>
      <xdr:rowOff>47623</xdr:rowOff>
    </xdr:to>
    <xdr:sp macro="" textlink="">
      <xdr:nvSpPr>
        <xdr:cNvPr id="6" name="Flecha: hacia abajo 5">
          <a:extLst>
            <a:ext uri="{FF2B5EF4-FFF2-40B4-BE49-F238E27FC236}">
              <a16:creationId xmlns:a16="http://schemas.microsoft.com/office/drawing/2014/main" id="{8D9ED5B4-FE72-4C64-9869-D284BAE1852A}"/>
            </a:ext>
          </a:extLst>
        </xdr:cNvPr>
        <xdr:cNvSpPr/>
      </xdr:nvSpPr>
      <xdr:spPr bwMode="auto">
        <a:xfrm>
          <a:off x="12763500"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161925</xdr:colOff>
      <xdr:row>3</xdr:row>
      <xdr:rowOff>47625</xdr:rowOff>
    </xdr:from>
    <xdr:to>
      <xdr:col>0</xdr:col>
      <xdr:colOff>858230</xdr:colOff>
      <xdr:row>6</xdr:row>
      <xdr:rowOff>17144</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925" y="876300"/>
          <a:ext cx="696305" cy="645794"/>
        </a:xfrm>
        <a:prstGeom prst="rect">
          <a:avLst/>
        </a:prstGeom>
        <a:noFill/>
        <a:ln>
          <a:noFill/>
        </a:ln>
      </xdr:spPr>
    </xdr:pic>
    <xdr:clientData/>
  </xdr:twoCellAnchor>
  <xdr:twoCellAnchor>
    <xdr:from>
      <xdr:col>2</xdr:col>
      <xdr:colOff>85725</xdr:colOff>
      <xdr:row>3</xdr:row>
      <xdr:rowOff>152400</xdr:rowOff>
    </xdr:from>
    <xdr:to>
      <xdr:col>2</xdr:col>
      <xdr:colOff>589725</xdr:colOff>
      <xdr:row>5</xdr:row>
      <xdr:rowOff>180150</xdr:rowOff>
    </xdr:to>
    <xdr:grpSp>
      <xdr:nvGrpSpPr>
        <xdr:cNvPr id="3" name="Grupo 2">
          <a:hlinkClick xmlns:r="http://schemas.openxmlformats.org/officeDocument/2006/relationships" r:id="rId3"/>
          <a:extLst>
            <a:ext uri="{FF2B5EF4-FFF2-40B4-BE49-F238E27FC236}">
              <a16:creationId xmlns:a16="http://schemas.microsoft.com/office/drawing/2014/main" id="{00000000-0008-0000-3600-000004000000}"/>
            </a:ext>
          </a:extLst>
        </xdr:cNvPr>
        <xdr:cNvGrpSpPr/>
      </xdr:nvGrpSpPr>
      <xdr:grpSpPr>
        <a:xfrm>
          <a:off x="2031546" y="996043"/>
          <a:ext cx="504000" cy="517607"/>
          <a:chOff x="4660982" y="2660030"/>
          <a:chExt cx="574597" cy="520390"/>
        </a:xfrm>
        <a:solidFill>
          <a:srgbClr val="92D050"/>
        </a:solidFill>
      </xdr:grpSpPr>
      <xdr:sp macro="" textlink="">
        <xdr:nvSpPr>
          <xdr:cNvPr id="4" name="Elipse 3">
            <a:hlinkClick xmlns:r="http://schemas.openxmlformats.org/officeDocument/2006/relationships" r:id="rId4"/>
            <a:extLst>
              <a:ext uri="{FF2B5EF4-FFF2-40B4-BE49-F238E27FC236}">
                <a16:creationId xmlns:a16="http://schemas.microsoft.com/office/drawing/2014/main" id="{00000000-0008-0000-3600-000005000000}"/>
              </a:ext>
            </a:extLst>
          </xdr:cNvPr>
          <xdr:cNvSpPr/>
        </xdr:nvSpPr>
        <xdr:spPr>
          <a:xfrm>
            <a:off x="4660982" y="2660030"/>
            <a:ext cx="574597" cy="520390"/>
          </a:xfrm>
          <a:prstGeom prst="ellipse">
            <a:avLst/>
          </a:prstGeom>
          <a:grpFill/>
          <a:ln>
            <a:solidFill>
              <a:srgbClr val="92D050"/>
            </a:solidFill>
          </a:ln>
          <a:effectLst>
            <a:glow rad="127000">
              <a:schemeClr val="accent1">
                <a:alpha val="40000"/>
              </a:schemeClr>
            </a:glow>
          </a:effectLst>
          <a:scene3d>
            <a:camera prst="orthographicFront"/>
            <a:lightRig rig="threePt" dir="t"/>
          </a:scene3d>
          <a:sp3d extrusionH="44450">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5" name="CuadroTexto 4">
            <a:hlinkClick xmlns:r="http://schemas.openxmlformats.org/officeDocument/2006/relationships" r:id="rId5"/>
            <a:extLst>
              <a:ext uri="{FF2B5EF4-FFF2-40B4-BE49-F238E27FC236}">
                <a16:creationId xmlns:a16="http://schemas.microsoft.com/office/drawing/2014/main" id="{00000000-0008-0000-3600-000006000000}"/>
              </a:ext>
            </a:extLst>
          </xdr:cNvPr>
          <xdr:cNvSpPr txBox="1"/>
        </xdr:nvSpPr>
        <xdr:spPr>
          <a:xfrm>
            <a:off x="4709717" y="2743120"/>
            <a:ext cx="515944" cy="371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b="1"/>
              <a:t>INC</a:t>
            </a:r>
          </a:p>
        </xdr:txBody>
      </xdr:sp>
    </xdr:grpSp>
    <xdr:clientData/>
  </xdr:twoCellAnchor>
  <xdr:twoCellAnchor>
    <xdr:from>
      <xdr:col>9</xdr:col>
      <xdr:colOff>91440</xdr:colOff>
      <xdr:row>25</xdr:row>
      <xdr:rowOff>15240</xdr:rowOff>
    </xdr:from>
    <xdr:to>
      <xdr:col>13</xdr:col>
      <xdr:colOff>830580</xdr:colOff>
      <xdr:row>26</xdr:row>
      <xdr:rowOff>53340</xdr:rowOff>
    </xdr:to>
    <xdr:sp macro="" textlink="">
      <xdr:nvSpPr>
        <xdr:cNvPr id="6" name="1 Flecha derecha">
          <a:extLst>
            <a:ext uri="{FF2B5EF4-FFF2-40B4-BE49-F238E27FC236}">
              <a16:creationId xmlns:a16="http://schemas.microsoft.com/office/drawing/2014/main" id="{00000000-0008-0000-3600-000007000000}"/>
            </a:ext>
          </a:extLst>
        </xdr:cNvPr>
        <xdr:cNvSpPr/>
      </xdr:nvSpPr>
      <xdr:spPr>
        <a:xfrm>
          <a:off x="8101965" y="6358890"/>
          <a:ext cx="4672965" cy="390525"/>
        </a:xfrm>
        <a:prstGeom prst="rightArrow">
          <a:avLst/>
        </a:prstGeom>
        <a:solidFill>
          <a:schemeClr val="bg2">
            <a:lumMod val="50000"/>
          </a:schemeClr>
        </a:solidFill>
        <a:ln>
          <a:solidFill>
            <a:schemeClr val="bg2">
              <a:lumMod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20410</xdr:colOff>
      <xdr:row>35</xdr:row>
      <xdr:rowOff>9526</xdr:rowOff>
    </xdr:from>
    <xdr:to>
      <xdr:col>10</xdr:col>
      <xdr:colOff>877660</xdr:colOff>
      <xdr:row>49</xdr:row>
      <xdr:rowOff>85726</xdr:rowOff>
    </xdr:to>
    <xdr:graphicFrame macro="">
      <xdr:nvGraphicFramePr>
        <xdr:cNvPr id="7" name="Gráfico 6">
          <a:extLst>
            <a:ext uri="{FF2B5EF4-FFF2-40B4-BE49-F238E27FC236}">
              <a16:creationId xmlns:a16="http://schemas.microsoft.com/office/drawing/2014/main" id="{00000000-0008-0000-3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544286</xdr:colOff>
      <xdr:row>35</xdr:row>
      <xdr:rowOff>1</xdr:rowOff>
    </xdr:from>
    <xdr:to>
      <xdr:col>16</xdr:col>
      <xdr:colOff>340179</xdr:colOff>
      <xdr:row>49</xdr:row>
      <xdr:rowOff>76201</xdr:rowOff>
    </xdr:to>
    <xdr:graphicFrame macro="">
      <xdr:nvGraphicFramePr>
        <xdr:cNvPr id="8" name="Gráfico 7">
          <a:extLst>
            <a:ext uri="{FF2B5EF4-FFF2-40B4-BE49-F238E27FC236}">
              <a16:creationId xmlns:a16="http://schemas.microsoft.com/office/drawing/2014/main" id="{00000000-0008-0000-3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149680</xdr:colOff>
      <xdr:row>35</xdr:row>
      <xdr:rowOff>0</xdr:rowOff>
    </xdr:from>
    <xdr:to>
      <xdr:col>5</xdr:col>
      <xdr:colOff>176894</xdr:colOff>
      <xdr:row>49</xdr:row>
      <xdr:rowOff>76200</xdr:rowOff>
    </xdr:to>
    <xdr:graphicFrame macro="">
      <xdr:nvGraphicFramePr>
        <xdr:cNvPr id="9" name="Gráfico 8">
          <a:extLst>
            <a:ext uri="{FF2B5EF4-FFF2-40B4-BE49-F238E27FC236}">
              <a16:creationId xmlns:a16="http://schemas.microsoft.com/office/drawing/2014/main" id="{00000000-0008-0000-3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1020537</xdr:colOff>
      <xdr:row>0</xdr:row>
      <xdr:rowOff>81642</xdr:rowOff>
    </xdr:from>
    <xdr:to>
      <xdr:col>1</xdr:col>
      <xdr:colOff>408215</xdr:colOff>
      <xdr:row>2</xdr:row>
      <xdr:rowOff>204106</xdr:rowOff>
    </xdr:to>
    <xdr:pic>
      <xdr:nvPicPr>
        <xdr:cNvPr id="10" name="Imagen 9">
          <a:extLst>
            <a:ext uri="{FF2B5EF4-FFF2-40B4-BE49-F238E27FC236}">
              <a16:creationId xmlns:a16="http://schemas.microsoft.com/office/drawing/2014/main" id="{00000000-0008-0000-36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20537" y="81642"/>
          <a:ext cx="721178" cy="71301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238126</xdr:colOff>
      <xdr:row>0</xdr:row>
      <xdr:rowOff>0</xdr:rowOff>
    </xdr:from>
    <xdr:to>
      <xdr:col>1</xdr:col>
      <xdr:colOff>371476</xdr:colOff>
      <xdr:row>2</xdr:row>
      <xdr:rowOff>228600</xdr:rowOff>
    </xdr:to>
    <xdr:pic>
      <xdr:nvPicPr>
        <xdr:cNvPr id="2" name="Imagen 1" descr="ICFE.bmp"/>
        <xdr:cNvPicPr/>
      </xdr:nvPicPr>
      <xdr:blipFill>
        <a:blip xmlns:r="http://schemas.openxmlformats.org/officeDocument/2006/relationships" r:embed="rId1">
          <a:extLst>
            <a:ext uri="{28A0092B-C50C-407E-A947-70E740481C1C}">
              <a14:useLocalDpi xmlns:a14="http://schemas.microsoft.com/office/drawing/2010/main" val="0"/>
            </a:ext>
          </a:extLst>
        </a:blip>
        <a:srcRect b="21249"/>
        <a:stretch>
          <a:fillRect/>
        </a:stretch>
      </xdr:blipFill>
      <xdr:spPr bwMode="auto">
        <a:xfrm>
          <a:off x="238126" y="0"/>
          <a:ext cx="14668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3</xdr:row>
      <xdr:rowOff>47625</xdr:rowOff>
    </xdr:from>
    <xdr:to>
      <xdr:col>0</xdr:col>
      <xdr:colOff>858230</xdr:colOff>
      <xdr:row>6</xdr:row>
      <xdr:rowOff>17144</xdr:rowOff>
    </xdr:to>
    <xdr:pic>
      <xdr:nvPicPr>
        <xdr:cNvPr id="3" name="Imagen 2">
          <a:hlinkClick xmlns:r="http://schemas.openxmlformats.org/officeDocument/2006/relationships" r:id="rId2"/>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1925" y="876300"/>
          <a:ext cx="696305" cy="645794"/>
        </a:xfrm>
        <a:prstGeom prst="rect">
          <a:avLst/>
        </a:prstGeom>
        <a:noFill/>
        <a:ln>
          <a:noFill/>
        </a:ln>
      </xdr:spPr>
    </xdr:pic>
    <xdr:clientData/>
  </xdr:twoCellAnchor>
  <xdr:twoCellAnchor>
    <xdr:from>
      <xdr:col>2</xdr:col>
      <xdr:colOff>85725</xdr:colOff>
      <xdr:row>3</xdr:row>
      <xdr:rowOff>152400</xdr:rowOff>
    </xdr:from>
    <xdr:to>
      <xdr:col>2</xdr:col>
      <xdr:colOff>589725</xdr:colOff>
      <xdr:row>5</xdr:row>
      <xdr:rowOff>180150</xdr:rowOff>
    </xdr:to>
    <xdr:grpSp>
      <xdr:nvGrpSpPr>
        <xdr:cNvPr id="4" name="Grupo 3">
          <a:hlinkClick xmlns:r="http://schemas.openxmlformats.org/officeDocument/2006/relationships" r:id="rId4"/>
          <a:extLst>
            <a:ext uri="{FF2B5EF4-FFF2-40B4-BE49-F238E27FC236}">
              <a16:creationId xmlns:a16="http://schemas.microsoft.com/office/drawing/2014/main" id="{00000000-0008-0000-0700-00000A000000}"/>
            </a:ext>
          </a:extLst>
        </xdr:cNvPr>
        <xdr:cNvGrpSpPr/>
      </xdr:nvGrpSpPr>
      <xdr:grpSpPr>
        <a:xfrm>
          <a:off x="2031546" y="996043"/>
          <a:ext cx="504000" cy="517607"/>
          <a:chOff x="4660982" y="2660030"/>
          <a:chExt cx="574597" cy="520390"/>
        </a:xfrm>
        <a:solidFill>
          <a:srgbClr val="92D050"/>
        </a:solidFill>
      </xdr:grpSpPr>
      <xdr:sp macro="" textlink="">
        <xdr:nvSpPr>
          <xdr:cNvPr id="5" name="Elipse 4">
            <a:hlinkClick xmlns:r="http://schemas.openxmlformats.org/officeDocument/2006/relationships" r:id="rId5"/>
            <a:extLst>
              <a:ext uri="{FF2B5EF4-FFF2-40B4-BE49-F238E27FC236}">
                <a16:creationId xmlns:a16="http://schemas.microsoft.com/office/drawing/2014/main" id="{00000000-0008-0000-0700-00000B000000}"/>
              </a:ext>
            </a:extLst>
          </xdr:cNvPr>
          <xdr:cNvSpPr/>
        </xdr:nvSpPr>
        <xdr:spPr>
          <a:xfrm>
            <a:off x="4660982" y="2660030"/>
            <a:ext cx="574597" cy="520390"/>
          </a:xfrm>
          <a:prstGeom prst="ellipse">
            <a:avLst/>
          </a:prstGeom>
          <a:grpFill/>
          <a:ln>
            <a:solidFill>
              <a:srgbClr val="92D050"/>
            </a:solidFill>
          </a:ln>
          <a:effectLst>
            <a:glow rad="127000">
              <a:schemeClr val="accent1">
                <a:alpha val="40000"/>
              </a:schemeClr>
            </a:glow>
          </a:effectLst>
          <a:scene3d>
            <a:camera prst="orthographicFront"/>
            <a:lightRig rig="threePt" dir="t"/>
          </a:scene3d>
          <a:sp3d extrusionH="44450">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6" name="CuadroTexto 5">
            <a:hlinkClick xmlns:r="http://schemas.openxmlformats.org/officeDocument/2006/relationships" r:id="rId6"/>
            <a:extLst>
              <a:ext uri="{FF2B5EF4-FFF2-40B4-BE49-F238E27FC236}">
                <a16:creationId xmlns:a16="http://schemas.microsoft.com/office/drawing/2014/main" id="{00000000-0008-0000-0700-00000C000000}"/>
              </a:ext>
            </a:extLst>
          </xdr:cNvPr>
          <xdr:cNvSpPr txBox="1"/>
        </xdr:nvSpPr>
        <xdr:spPr>
          <a:xfrm>
            <a:off x="4709717" y="2743120"/>
            <a:ext cx="515944" cy="371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b="1"/>
              <a:t>INC</a:t>
            </a:r>
          </a:p>
        </xdr:txBody>
      </xdr:sp>
    </xdr:grpSp>
    <xdr:clientData/>
  </xdr:twoCellAnchor>
  <xdr:twoCellAnchor>
    <xdr:from>
      <xdr:col>9</xdr:col>
      <xdr:colOff>91440</xdr:colOff>
      <xdr:row>25</xdr:row>
      <xdr:rowOff>15240</xdr:rowOff>
    </xdr:from>
    <xdr:to>
      <xdr:col>13</xdr:col>
      <xdr:colOff>830580</xdr:colOff>
      <xdr:row>26</xdr:row>
      <xdr:rowOff>53340</xdr:rowOff>
    </xdr:to>
    <xdr:sp macro="" textlink="">
      <xdr:nvSpPr>
        <xdr:cNvPr id="7" name="1 Flecha derecha"/>
        <xdr:cNvSpPr/>
      </xdr:nvSpPr>
      <xdr:spPr>
        <a:xfrm>
          <a:off x="8101965" y="6358890"/>
          <a:ext cx="4672965" cy="390525"/>
        </a:xfrm>
        <a:prstGeom prst="rightArrow">
          <a:avLst/>
        </a:prstGeom>
        <a:solidFill>
          <a:schemeClr val="bg2">
            <a:lumMod val="50000"/>
          </a:schemeClr>
        </a:solidFill>
        <a:ln>
          <a:solidFill>
            <a:schemeClr val="bg2">
              <a:lumMod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20410</xdr:colOff>
      <xdr:row>35</xdr:row>
      <xdr:rowOff>9526</xdr:rowOff>
    </xdr:from>
    <xdr:to>
      <xdr:col>10</xdr:col>
      <xdr:colOff>877660</xdr:colOff>
      <xdr:row>49</xdr:row>
      <xdr:rowOff>85726</xdr:rowOff>
    </xdr:to>
    <xdr:graphicFrame macro="">
      <xdr:nvGraphicFramePr>
        <xdr:cNvPr id="8" name="Gráfic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544286</xdr:colOff>
      <xdr:row>35</xdr:row>
      <xdr:rowOff>1</xdr:rowOff>
    </xdr:from>
    <xdr:to>
      <xdr:col>16</xdr:col>
      <xdr:colOff>340179</xdr:colOff>
      <xdr:row>49</xdr:row>
      <xdr:rowOff>76201</xdr:rowOff>
    </xdr:to>
    <xdr:graphicFrame macro="">
      <xdr:nvGraphicFramePr>
        <xdr:cNvPr id="9" name="Gráfico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149680</xdr:colOff>
      <xdr:row>35</xdr:row>
      <xdr:rowOff>0</xdr:rowOff>
    </xdr:from>
    <xdr:to>
      <xdr:col>5</xdr:col>
      <xdr:colOff>176894</xdr:colOff>
      <xdr:row>49</xdr:row>
      <xdr:rowOff>76200</xdr:rowOff>
    </xdr:to>
    <xdr:graphicFrame macro="">
      <xdr:nvGraphicFramePr>
        <xdr:cNvPr id="10" name="Gráfico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0</xdr:col>
      <xdr:colOff>238125</xdr:colOff>
      <xdr:row>32</xdr:row>
      <xdr:rowOff>138111</xdr:rowOff>
    </xdr:from>
    <xdr:to>
      <xdr:col>8</xdr:col>
      <xdr:colOff>723900</xdr:colOff>
      <xdr:row>52</xdr:row>
      <xdr:rowOff>35718</xdr:rowOff>
    </xdr:to>
    <xdr:graphicFrame macro="">
      <xdr:nvGraphicFramePr>
        <xdr:cNvPr id="2"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844549</xdr:colOff>
      <xdr:row>32</xdr:row>
      <xdr:rowOff>119061</xdr:rowOff>
    </xdr:from>
    <xdr:to>
      <xdr:col>22</xdr:col>
      <xdr:colOff>885824</xdr:colOff>
      <xdr:row>52</xdr:row>
      <xdr:rowOff>59530</xdr:rowOff>
    </xdr:to>
    <xdr:graphicFrame macro="">
      <xdr:nvGraphicFramePr>
        <xdr:cNvPr id="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238126</xdr:colOff>
      <xdr:row>0</xdr:row>
      <xdr:rowOff>0</xdr:rowOff>
    </xdr:from>
    <xdr:to>
      <xdr:col>1</xdr:col>
      <xdr:colOff>581026</xdr:colOff>
      <xdr:row>2</xdr:row>
      <xdr:rowOff>228600</xdr:rowOff>
    </xdr:to>
    <xdr:pic>
      <xdr:nvPicPr>
        <xdr:cNvPr id="4" name="Imagen 3" descr="ICFE.bmp"/>
        <xdr:cNvPicPr/>
      </xdr:nvPicPr>
      <xdr:blipFill>
        <a:blip xmlns:r="http://schemas.openxmlformats.org/officeDocument/2006/relationships" r:embed="rId3">
          <a:extLst>
            <a:ext uri="{28A0092B-C50C-407E-A947-70E740481C1C}">
              <a14:useLocalDpi xmlns:a14="http://schemas.microsoft.com/office/drawing/2010/main" val="0"/>
            </a:ext>
          </a:extLst>
        </a:blip>
        <a:srcRect b="21249"/>
        <a:stretch>
          <a:fillRect/>
        </a:stretch>
      </xdr:blipFill>
      <xdr:spPr bwMode="auto">
        <a:xfrm>
          <a:off x="238126" y="0"/>
          <a:ext cx="14859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3</xdr:row>
      <xdr:rowOff>47625</xdr:rowOff>
    </xdr:from>
    <xdr:to>
      <xdr:col>0</xdr:col>
      <xdr:colOff>858230</xdr:colOff>
      <xdr:row>6</xdr:row>
      <xdr:rowOff>9524</xdr:rowOff>
    </xdr:to>
    <xdr:pic>
      <xdr:nvPicPr>
        <xdr:cNvPr id="5" name="Imagen 4">
          <a:hlinkClick xmlns:r="http://schemas.openxmlformats.org/officeDocument/2006/relationships" r:id="rId4"/>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1925" y="876300"/>
          <a:ext cx="696305" cy="638174"/>
        </a:xfrm>
        <a:prstGeom prst="rect">
          <a:avLst/>
        </a:prstGeom>
        <a:noFill/>
        <a:ln>
          <a:noFill/>
        </a:ln>
      </xdr:spPr>
    </xdr:pic>
    <xdr:clientData/>
  </xdr:twoCellAnchor>
  <xdr:twoCellAnchor>
    <xdr:from>
      <xdr:col>1</xdr:col>
      <xdr:colOff>85725</xdr:colOff>
      <xdr:row>3</xdr:row>
      <xdr:rowOff>152400</xdr:rowOff>
    </xdr:from>
    <xdr:to>
      <xdr:col>1</xdr:col>
      <xdr:colOff>589725</xdr:colOff>
      <xdr:row>5</xdr:row>
      <xdr:rowOff>180150</xdr:rowOff>
    </xdr:to>
    <xdr:grpSp>
      <xdr:nvGrpSpPr>
        <xdr:cNvPr id="6" name="Grupo 5">
          <a:hlinkClick xmlns:r="http://schemas.openxmlformats.org/officeDocument/2006/relationships" r:id="rId6"/>
          <a:extLst>
            <a:ext uri="{FF2B5EF4-FFF2-40B4-BE49-F238E27FC236}">
              <a16:creationId xmlns:a16="http://schemas.microsoft.com/office/drawing/2014/main" id="{00000000-0008-0000-0700-00000A000000}"/>
            </a:ext>
          </a:extLst>
        </xdr:cNvPr>
        <xdr:cNvGrpSpPr/>
      </xdr:nvGrpSpPr>
      <xdr:grpSpPr>
        <a:xfrm>
          <a:off x="1228725" y="996043"/>
          <a:ext cx="504000" cy="517607"/>
          <a:chOff x="4660982" y="2660030"/>
          <a:chExt cx="574597" cy="520390"/>
        </a:xfrm>
        <a:solidFill>
          <a:srgbClr val="92D050"/>
        </a:solidFill>
      </xdr:grpSpPr>
      <xdr:sp macro="" textlink="">
        <xdr:nvSpPr>
          <xdr:cNvPr id="7" name="Elipse 6">
            <a:hlinkClick xmlns:r="http://schemas.openxmlformats.org/officeDocument/2006/relationships" r:id="rId7"/>
            <a:extLst>
              <a:ext uri="{FF2B5EF4-FFF2-40B4-BE49-F238E27FC236}">
                <a16:creationId xmlns:a16="http://schemas.microsoft.com/office/drawing/2014/main" id="{00000000-0008-0000-0700-00000B000000}"/>
              </a:ext>
            </a:extLst>
          </xdr:cNvPr>
          <xdr:cNvSpPr/>
        </xdr:nvSpPr>
        <xdr:spPr>
          <a:xfrm>
            <a:off x="4660982" y="2660030"/>
            <a:ext cx="574597" cy="520390"/>
          </a:xfrm>
          <a:prstGeom prst="ellipse">
            <a:avLst/>
          </a:prstGeom>
          <a:grpFill/>
          <a:ln>
            <a:solidFill>
              <a:srgbClr val="92D050"/>
            </a:solidFill>
          </a:ln>
          <a:effectLst>
            <a:glow rad="127000">
              <a:schemeClr val="accent1">
                <a:alpha val="40000"/>
              </a:schemeClr>
            </a:glow>
          </a:effectLst>
          <a:scene3d>
            <a:camera prst="orthographicFront"/>
            <a:lightRig rig="threePt" dir="t"/>
          </a:scene3d>
          <a:sp3d extrusionH="44450">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8" name="CuadroTexto 7">
            <a:hlinkClick xmlns:r="http://schemas.openxmlformats.org/officeDocument/2006/relationships" r:id="rId8"/>
            <a:extLst>
              <a:ext uri="{FF2B5EF4-FFF2-40B4-BE49-F238E27FC236}">
                <a16:creationId xmlns:a16="http://schemas.microsoft.com/office/drawing/2014/main" id="{00000000-0008-0000-0700-00000C000000}"/>
              </a:ext>
            </a:extLst>
          </xdr:cNvPr>
          <xdr:cNvSpPr txBox="1"/>
        </xdr:nvSpPr>
        <xdr:spPr>
          <a:xfrm>
            <a:off x="4709717" y="2743120"/>
            <a:ext cx="515944" cy="371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b="1"/>
              <a:t>INC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renar\Downloads\JURIDIC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20Indicadores%20de%20Gesti&#243;n/2021/Inform&#225;t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CABRERA.ICFE/U.CABRERA%202021/3.%20COORDINACION%202021/22.%20FUNCIONAMIENTO/proyeccion%20inversion%202019-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CABRERA.ICFE\U.CABRERA%202021\3.%20COORDINACION%202021\23.%20indicadores\FORMATOS%20RENDICION%20DE%20CUENTAS%20-GP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CABRERA.ICFE/U.CABRERA%202021/3.%20COORDINACION%202021/1.%20PLAN%20DE%20ADQUISICIONES/Plan%20Adquisiciones%20ICFE%202021%20actulizado%20a%2014-04-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4.%20Indicadores%20de%20Gesti&#243;n/2021/Servicios%20p&#250;blico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lorenar\Desktop\Adquisione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23.131.133\sg-sst\Documentos\CIVITARQ\SG-SST\FORMATOS\SST-F-045%20INFORME%20MENSUAL%20HSE%20-%20ESTADISTIC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PLANEACIÓN PL-IND1"/>
      <sheetName val="PLANEACIÓN PL-IND2"/>
      <sheetName val="PLANEACIÓN PL-IND3"/>
      <sheetName val="PLANEACIÓN PL-IND4"/>
      <sheetName val="JURÍDICA GJU-IND1"/>
      <sheetName val="JURÍDICA GJU-IND2"/>
      <sheetName val="JURÍDICA GJU-IND3"/>
      <sheetName val="JURÍDICA GJU-IND4"/>
      <sheetName val="INFORMÁTICA INF-IND1"/>
      <sheetName val="INFORMÁTICA INF-IND2"/>
      <sheetName val="INFORMÁTICA INF-IND3"/>
      <sheetName val="INFORMÁTICA INF-IND4"/>
      <sheetName val="GES. DOCUMENTAL GDOC-IND1"/>
      <sheetName val="TESORERÍA TES-IND1"/>
      <sheetName val="CAJA MENOR CAJA-IND1"/>
      <sheetName val="CONTABILIDAD CONT-IND1"/>
      <sheetName val="CONTABILIDAD CONT-IND2"/>
      <sheetName val="PRESUPUESTO PRE-IND1"/>
      <sheetName val="PRESUPUESTO PRE-IND2"/>
      <sheetName val="PROYECTOS GPRO-IND1"/>
      <sheetName val="PROYECTOS GPRO-IND2"/>
      <sheetName val="PROYECTOS GPRO-IND3"/>
      <sheetName val="PROYECTOS GPRO-IND4"/>
      <sheetName val="T. HUMANO TH-IND1"/>
      <sheetName val="T. HUMANO TH-IND2"/>
      <sheetName val="T. HUMANO TH-IND3"/>
      <sheetName val="AT. USUARIO ATU-IND1"/>
      <sheetName val="AT. USUARIO ATU-IND2"/>
      <sheetName val="MANTENIMIENTO MANT-IND1"/>
      <sheetName val="MANTENIMIENTO MANT-IND2"/>
      <sheetName val="MANTENIMIENTO MANT-IND3"/>
      <sheetName val="MANTENIMIENTO MANT-IND4"/>
      <sheetName val="VIVIENDAS VIV-IND1"/>
      <sheetName val="VIVIENDAS VIV-IND2"/>
      <sheetName val="FINCA RAIZ FIN-IND1"/>
      <sheetName val="FINCA RAIZ FIN-IND2"/>
      <sheetName val="SER. PUBLICOS SPU-IND1"/>
      <sheetName val="SER. PUBLICOS SPU-IND2"/>
      <sheetName val="SER. PUBLICOS SPU-IND3"/>
      <sheetName val="SER. PUBLICOS SPU-IND4"/>
      <sheetName val="SER. PUBLICOS SPU-IND5"/>
      <sheetName val="CARTERA CART-IND1"/>
      <sheetName val="CONTRATOS ADQ-IND1"/>
      <sheetName val="CONTRATOS ADQ-IND2"/>
      <sheetName val="ALMACÉN ALM-IND1"/>
      <sheetName val="TRANSPORTES TRA-IND1"/>
      <sheetName val="TRANSPORTES TRA-IND2"/>
      <sheetName val="GESTIÓN INTEGRAL SGA-IND1"/>
      <sheetName val="GESTIÓN INTEGRAL SGA-IND2"/>
      <sheetName val="GESTIÓN INTEGRAL SGA-IND3"/>
      <sheetName val="GESTIÓN INTEGRAL SGA-IND4"/>
      <sheetName val="GESTIÓN INTEGRAL SGA-IND5"/>
      <sheetName val="Instructiv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INFORMÁTICA INF-IND1"/>
      <sheetName val="INFORMÁTICA INF-IND2"/>
      <sheetName val="INFORMÁTICA INF-IND3"/>
      <sheetName val="INFORMÁTICA INF-IND4"/>
      <sheetName val="Instructivo"/>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2019-2025"/>
    </sheetNames>
    <sheetDataSet>
      <sheetData sheetId="0" refreshError="1"/>
      <sheetData sheetId="1" refreshError="1">
        <row r="64">
          <cell r="I64">
            <v>12996554456.360001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ORIGEN DE INGRESOS - ENT..."/>
      <sheetName val="F1.1  INGRESOS DE ORIGEN DIF..."/>
      <sheetName val="F2  PLAN ANUAL DE COMPRAS AP..."/>
      <sheetName val="F4  PLANES DE ACCIÓN Y EJECU..."/>
      <sheetName val="F6  INDICADORES DE GESTIÓN"/>
      <sheetName val="F8.1  COMPROMISOS PRESUPUEST..."/>
      <sheetName val="F9  RELACIÓN DE PROCESOS JUD..."/>
      <sheetName val="F11  PLAN DE INVERSIÓN Y EJE..."/>
      <sheetName val="F21  FONDOS INTERNOS"/>
      <sheetName val="F25.1  COMPOSICIÓN PATRIMONI..."/>
      <sheetName val="F25.2  TRANSFERENCIAS PRESUP..."/>
      <sheetName val="F25.3  AUTORIZACIÓN DE NOTIF..."/>
      <sheetName val="F39.1.1  ACTIVIDADES DE LA P..."/>
      <sheetName val="F39.1.2  ACTIVIDADES Y RESUL..."/>
      <sheetName val="F39.1.3  RESULTADOS DE LA PA..."/>
    </sheetNames>
    <sheetDataSet>
      <sheetData sheetId="0"/>
      <sheetData sheetId="1"/>
      <sheetData sheetId="2"/>
      <sheetData sheetId="3"/>
      <sheetData sheetId="4"/>
      <sheetData sheetId="5"/>
      <sheetData sheetId="6"/>
      <sheetData sheetId="7">
        <row r="11">
          <cell r="J11">
            <v>9265000000</v>
          </cell>
          <cell r="O11">
            <v>8431029107.6499996</v>
          </cell>
        </row>
        <row r="12">
          <cell r="J12">
            <v>1451000000</v>
          </cell>
          <cell r="O12">
            <v>1281453812.8699999</v>
          </cell>
        </row>
      </sheetData>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 Plan Adqu ICFE 2020 Ang"/>
      <sheetName val="Plan Adqu ICFE 2021 Total"/>
      <sheetName val="Hoja1"/>
    </sheetNames>
    <sheetDataSet>
      <sheetData sheetId="0" refreshError="1"/>
      <sheetData sheetId="1" refreshError="1">
        <row r="279">
          <cell r="W279">
            <v>6556000</v>
          </cell>
          <cell r="X279">
            <v>6556000</v>
          </cell>
          <cell r="Y279">
            <v>8556000</v>
          </cell>
          <cell r="Z279">
            <v>8556000</v>
          </cell>
          <cell r="AA279">
            <v>8556000</v>
          </cell>
          <cell r="AB279">
            <v>1178256000</v>
          </cell>
          <cell r="AC279">
            <v>8556000</v>
          </cell>
          <cell r="AD279">
            <v>1178256000</v>
          </cell>
          <cell r="AE279">
            <v>3127752000</v>
          </cell>
          <cell r="AF279">
            <v>116800000</v>
          </cell>
          <cell r="AG279">
            <v>2512600000</v>
          </cell>
        </row>
        <row r="294">
          <cell r="Y294">
            <v>190118000</v>
          </cell>
          <cell r="Z294">
            <v>636118000</v>
          </cell>
          <cell r="AA294">
            <v>1468118000</v>
          </cell>
          <cell r="AB294">
            <v>2882118000</v>
          </cell>
          <cell r="AC294">
            <v>2812118000</v>
          </cell>
          <cell r="AD294">
            <v>354118000</v>
          </cell>
          <cell r="AE294">
            <v>54115000</v>
          </cell>
          <cell r="AF294">
            <v>37451000</v>
          </cell>
          <cell r="AG294">
            <v>4936000</v>
          </cell>
        </row>
        <row r="311">
          <cell r="X311">
            <v>98790000</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SER. PUBLICOS SPU-IND1"/>
      <sheetName val="SER. PUBLICOS SPU-IND2"/>
      <sheetName val="SER. PUBLICOS SPU-IND3"/>
      <sheetName val="SER. PUBLICOS SPU-IND4"/>
      <sheetName val="SER. PUBLICOS SPU-IND5"/>
      <sheetName val="Instructivo"/>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HSE"/>
      <sheetName val="BASE DE DATOS"/>
      <sheetName val="ESTADISTICAS DE ACCIDENTALIDAD"/>
    </sheetNames>
    <sheetDataSet>
      <sheetData sheetId="0"/>
      <sheetData sheetId="1"/>
      <sheetData sheetId="2">
        <row r="6">
          <cell r="M6" t="str">
            <v>FRECUENCIA DE AT</v>
          </cell>
          <cell r="N6" t="str">
            <v>SEVERIDAD DE AT</v>
          </cell>
          <cell r="O6" t="str">
            <v>LESIONES INCAPACITANTES</v>
          </cell>
          <cell r="P6" t="str">
            <v>TASA DE ACCIDENTALIDAD</v>
          </cell>
          <cell r="Q6" t="str">
            <v>TASA DE AUSENTISMO</v>
          </cell>
        </row>
        <row r="7">
          <cell r="A7" t="str">
            <v>JULIO</v>
          </cell>
          <cell r="M7" t="e">
            <v>#DIV/0!</v>
          </cell>
          <cell r="N7" t="e">
            <v>#DIV/0!</v>
          </cell>
          <cell r="O7" t="e">
            <v>#DIV/0!</v>
          </cell>
          <cell r="Q7">
            <v>0</v>
          </cell>
        </row>
        <row r="8">
          <cell r="A8" t="str">
            <v>AGOSTO</v>
          </cell>
          <cell r="M8">
            <v>0</v>
          </cell>
          <cell r="N8">
            <v>0</v>
          </cell>
          <cell r="O8">
            <v>0</v>
          </cell>
          <cell r="Q8">
            <v>0</v>
          </cell>
        </row>
        <row r="9">
          <cell r="A9" t="str">
            <v>SEPTIEMBRE</v>
          </cell>
          <cell r="M9">
            <v>0</v>
          </cell>
          <cell r="N9">
            <v>0</v>
          </cell>
          <cell r="O9">
            <v>0</v>
          </cell>
          <cell r="Q9">
            <v>0</v>
          </cell>
        </row>
        <row r="10">
          <cell r="A10" t="str">
            <v>OCTUBRE</v>
          </cell>
          <cell r="M10">
            <v>0</v>
          </cell>
          <cell r="N10">
            <v>0</v>
          </cell>
          <cell r="O10">
            <v>0</v>
          </cell>
          <cell r="Q10">
            <v>0</v>
          </cell>
        </row>
        <row r="11">
          <cell r="A11" t="str">
            <v>NOVIEMBRE</v>
          </cell>
          <cell r="M11">
            <v>0</v>
          </cell>
          <cell r="N11">
            <v>0</v>
          </cell>
          <cell r="O11">
            <v>0</v>
          </cell>
          <cell r="Q11">
            <v>0</v>
          </cell>
        </row>
        <row r="12">
          <cell r="A12" t="str">
            <v>DICIEMBRE</v>
          </cell>
          <cell r="M12">
            <v>0</v>
          </cell>
          <cell r="N12">
            <v>0</v>
          </cell>
          <cell r="O12">
            <v>0</v>
          </cell>
          <cell r="Q12">
            <v>0</v>
          </cell>
        </row>
        <row r="13">
          <cell r="A13" t="str">
            <v>ENERO 2018</v>
          </cell>
          <cell r="M13">
            <v>0</v>
          </cell>
          <cell r="N13">
            <v>0</v>
          </cell>
          <cell r="O13">
            <v>0</v>
          </cell>
          <cell r="Q13">
            <v>0</v>
          </cell>
        </row>
        <row r="14">
          <cell r="A14" t="str">
            <v>FEBRERO 2018</v>
          </cell>
          <cell r="M14">
            <v>0</v>
          </cell>
          <cell r="N14">
            <v>0</v>
          </cell>
          <cell r="O14">
            <v>0</v>
          </cell>
          <cell r="Q14">
            <v>0</v>
          </cell>
        </row>
        <row r="15">
          <cell r="M15">
            <v>0</v>
          </cell>
          <cell r="N15">
            <v>0</v>
          </cell>
          <cell r="O15">
            <v>0</v>
          </cell>
          <cell r="Q15">
            <v>0</v>
          </cell>
        </row>
        <row r="16">
          <cell r="M16">
            <v>0</v>
          </cell>
          <cell r="N16">
            <v>0</v>
          </cell>
          <cell r="O16">
            <v>0</v>
          </cell>
          <cell r="Q16">
            <v>0</v>
          </cell>
        </row>
        <row r="17">
          <cell r="M17">
            <v>0</v>
          </cell>
          <cell r="N17">
            <v>0</v>
          </cell>
          <cell r="O17">
            <v>0</v>
          </cell>
          <cell r="Q17">
            <v>0</v>
          </cell>
        </row>
        <row r="18">
          <cell r="M18">
            <v>0</v>
          </cell>
          <cell r="N18">
            <v>0</v>
          </cell>
          <cell r="O18">
            <v>0</v>
          </cell>
          <cell r="Q18">
            <v>0</v>
          </cell>
        </row>
      </sheetData>
    </sheetDataSet>
  </externalBook>
</externalLink>
</file>

<file path=xl/tables/table1.xml><?xml version="1.0" encoding="utf-8"?>
<table xmlns="http://schemas.openxmlformats.org/spreadsheetml/2006/main" id="2" name="Tabla2" displayName="Tabla2" ref="A2:A24" totalsRowShown="0" headerRowDxfId="5" dataDxfId="4" tableBorderDxfId="3">
  <tableColumns count="1">
    <tableColumn id="1" name="GRUPO GESTIÓN DE INFORMACIÓN Y TICS (Gestión Documental)"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3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3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2.bin"/><Relationship Id="rId4" Type="http://schemas.openxmlformats.org/officeDocument/2006/relationships/comments" Target="../comments3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3.bin"/><Relationship Id="rId4" Type="http://schemas.openxmlformats.org/officeDocument/2006/relationships/comments" Target="../comments3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4.bin"/><Relationship Id="rId4" Type="http://schemas.openxmlformats.org/officeDocument/2006/relationships/comments" Target="../comments3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5.bin"/><Relationship Id="rId4" Type="http://schemas.openxmlformats.org/officeDocument/2006/relationships/comments" Target="../comments3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6.bin"/><Relationship Id="rId4" Type="http://schemas.openxmlformats.org/officeDocument/2006/relationships/comments" Target="../comments3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37.bin"/><Relationship Id="rId4" Type="http://schemas.openxmlformats.org/officeDocument/2006/relationships/comments" Target="../comments3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38.bin"/><Relationship Id="rId4" Type="http://schemas.openxmlformats.org/officeDocument/2006/relationships/comments" Target="../comments38.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39.xml"/><Relationship Id="rId1" Type="http://schemas.openxmlformats.org/officeDocument/2006/relationships/printerSettings" Target="../printerSettings/printerSettings39.bin"/><Relationship Id="rId4" Type="http://schemas.openxmlformats.org/officeDocument/2006/relationships/comments" Target="../comments39.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0.xml"/><Relationship Id="rId1" Type="http://schemas.openxmlformats.org/officeDocument/2006/relationships/printerSettings" Target="../printerSettings/printerSettings40.bin"/><Relationship Id="rId4" Type="http://schemas.openxmlformats.org/officeDocument/2006/relationships/comments" Target="../comments40.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1.xml"/><Relationship Id="rId1" Type="http://schemas.openxmlformats.org/officeDocument/2006/relationships/printerSettings" Target="../printerSettings/printerSettings41.bin"/><Relationship Id="rId4" Type="http://schemas.openxmlformats.org/officeDocument/2006/relationships/comments" Target="../comments41.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2.xml"/><Relationship Id="rId1" Type="http://schemas.openxmlformats.org/officeDocument/2006/relationships/printerSettings" Target="../printerSettings/printerSettings42.bin"/><Relationship Id="rId4" Type="http://schemas.openxmlformats.org/officeDocument/2006/relationships/comments" Target="../comments42.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3.xml"/><Relationship Id="rId1" Type="http://schemas.openxmlformats.org/officeDocument/2006/relationships/printerSettings" Target="../printerSettings/printerSettings43.bin"/><Relationship Id="rId4" Type="http://schemas.openxmlformats.org/officeDocument/2006/relationships/comments" Target="../comments43.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4.xml"/><Relationship Id="rId1" Type="http://schemas.openxmlformats.org/officeDocument/2006/relationships/printerSettings" Target="../printerSettings/printerSettings44.bin"/><Relationship Id="rId4" Type="http://schemas.openxmlformats.org/officeDocument/2006/relationships/comments" Target="../comments44.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5.xml"/><Relationship Id="rId1" Type="http://schemas.openxmlformats.org/officeDocument/2006/relationships/printerSettings" Target="../printerSettings/printerSettings45.bin"/><Relationship Id="rId4" Type="http://schemas.openxmlformats.org/officeDocument/2006/relationships/comments" Target="../comments45.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46.xml"/><Relationship Id="rId1" Type="http://schemas.openxmlformats.org/officeDocument/2006/relationships/printerSettings" Target="../printerSettings/printerSettings46.bin"/><Relationship Id="rId4" Type="http://schemas.openxmlformats.org/officeDocument/2006/relationships/comments" Target="../comments46.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47.xml"/><Relationship Id="rId1" Type="http://schemas.openxmlformats.org/officeDocument/2006/relationships/printerSettings" Target="../printerSettings/printerSettings47.bin"/><Relationship Id="rId4" Type="http://schemas.openxmlformats.org/officeDocument/2006/relationships/comments" Target="../comments47.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48.xml"/><Relationship Id="rId1" Type="http://schemas.openxmlformats.org/officeDocument/2006/relationships/printerSettings" Target="../printerSettings/printerSettings48.bin"/><Relationship Id="rId4" Type="http://schemas.openxmlformats.org/officeDocument/2006/relationships/comments" Target="../comments48.x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49.xml"/><Relationship Id="rId1" Type="http://schemas.openxmlformats.org/officeDocument/2006/relationships/printerSettings" Target="../printerSettings/printerSettings49.bin"/><Relationship Id="rId4" Type="http://schemas.openxmlformats.org/officeDocument/2006/relationships/comments" Target="../comments49.x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0.xml"/><Relationship Id="rId1" Type="http://schemas.openxmlformats.org/officeDocument/2006/relationships/printerSettings" Target="../printerSettings/printerSettings50.bin"/><Relationship Id="rId4" Type="http://schemas.openxmlformats.org/officeDocument/2006/relationships/comments" Target="../comments50.x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1.xml"/><Relationship Id="rId1" Type="http://schemas.openxmlformats.org/officeDocument/2006/relationships/printerSettings" Target="../printerSettings/printerSettings51.bin"/><Relationship Id="rId4" Type="http://schemas.openxmlformats.org/officeDocument/2006/relationships/comments" Target="../comments51.x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2.xml"/><Relationship Id="rId1" Type="http://schemas.openxmlformats.org/officeDocument/2006/relationships/printerSettings" Target="../printerSettings/printerSettings52.bin"/><Relationship Id="rId4" Type="http://schemas.openxmlformats.org/officeDocument/2006/relationships/comments" Target="../comments52.x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3.xml"/><Relationship Id="rId1" Type="http://schemas.openxmlformats.org/officeDocument/2006/relationships/printerSettings" Target="../printerSettings/printerSettings53.bin"/><Relationship Id="rId4" Type="http://schemas.openxmlformats.org/officeDocument/2006/relationships/comments" Target="../comments53.xml"/></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54.xml"/><Relationship Id="rId1" Type="http://schemas.openxmlformats.org/officeDocument/2006/relationships/printerSettings" Target="../printerSettings/printerSettings54.bin"/><Relationship Id="rId4" Type="http://schemas.openxmlformats.org/officeDocument/2006/relationships/comments" Target="../comments54.xml"/></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55.xml"/><Relationship Id="rId2" Type="http://schemas.openxmlformats.org/officeDocument/2006/relationships/vmlDrawing" Target="../drawings/vmlDrawing55.vml"/><Relationship Id="rId1" Type="http://schemas.openxmlformats.org/officeDocument/2006/relationships/drawing" Target="../drawings/drawing5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B1:AC50"/>
  <sheetViews>
    <sheetView zoomScale="80" zoomScaleNormal="80" zoomScaleSheetLayoutView="100" workbookViewId="0">
      <selection activeCell="G7" sqref="G7:X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23" customWidth="1"/>
    <col min="26" max="26" width="3.25" style="23" customWidth="1"/>
    <col min="27" max="27" width="3.75" style="23" customWidth="1"/>
    <col min="28" max="28" width="4.25" style="24" customWidth="1"/>
    <col min="29" max="29" width="4.625" style="24"/>
    <col min="30" max="16384" width="4.625" style="23"/>
  </cols>
  <sheetData>
    <row r="1" spans="2:29"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23"/>
      <c r="AC1" s="23"/>
    </row>
    <row r="2" spans="2:29"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c r="AB2" s="23"/>
      <c r="AC2" s="23"/>
    </row>
    <row r="3" spans="2:29"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23"/>
      <c r="AC3" s="23"/>
    </row>
    <row r="4" spans="2:29"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23"/>
      <c r="AC4" s="23"/>
    </row>
    <row r="5" spans="2:29" s="41" customFormat="1" ht="14.25" customHeight="1">
      <c r="B5" s="39"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row>
    <row r="6" spans="2:29" ht="9" customHeight="1">
      <c r="B6" s="634"/>
      <c r="C6" s="634"/>
      <c r="D6" s="634"/>
      <c r="E6" s="634"/>
      <c r="F6" s="634"/>
      <c r="G6" s="634"/>
      <c r="H6" s="634"/>
      <c r="I6" s="634"/>
      <c r="J6" s="634"/>
      <c r="K6" s="634"/>
      <c r="L6" s="634"/>
      <c r="M6" s="634"/>
      <c r="N6" s="634"/>
      <c r="O6" s="634"/>
      <c r="P6" s="634"/>
      <c r="Q6" s="634"/>
      <c r="R6" s="634"/>
      <c r="S6" s="634"/>
      <c r="T6" s="634"/>
      <c r="U6" s="634"/>
      <c r="V6" s="634"/>
      <c r="W6" s="634"/>
      <c r="X6" s="634"/>
    </row>
    <row r="7" spans="2:29" ht="14.25" customHeight="1">
      <c r="B7" s="645" t="s">
        <v>76</v>
      </c>
      <c r="C7" s="646"/>
      <c r="D7" s="646"/>
      <c r="E7" s="646"/>
      <c r="F7" s="647"/>
      <c r="G7" s="651" t="s">
        <v>91</v>
      </c>
      <c r="H7" s="652"/>
      <c r="I7" s="652"/>
      <c r="J7" s="652"/>
      <c r="K7" s="652"/>
      <c r="L7" s="652"/>
      <c r="M7" s="652"/>
      <c r="N7" s="652"/>
      <c r="O7" s="652"/>
      <c r="P7" s="652"/>
      <c r="Q7" s="652"/>
      <c r="R7" s="652"/>
      <c r="S7" s="652"/>
      <c r="T7" s="652"/>
      <c r="U7" s="652"/>
      <c r="V7" s="652"/>
      <c r="W7" s="652"/>
      <c r="X7" s="653"/>
    </row>
    <row r="8" spans="2:29" ht="14.25" customHeight="1">
      <c r="B8" s="648"/>
      <c r="C8" s="649"/>
      <c r="D8" s="649"/>
      <c r="E8" s="649"/>
      <c r="F8" s="650"/>
      <c r="G8" s="654"/>
      <c r="H8" s="655"/>
      <c r="I8" s="655"/>
      <c r="J8" s="655"/>
      <c r="K8" s="655"/>
      <c r="L8" s="655"/>
      <c r="M8" s="655"/>
      <c r="N8" s="655"/>
      <c r="O8" s="655"/>
      <c r="P8" s="655"/>
      <c r="Q8" s="655"/>
      <c r="R8" s="655"/>
      <c r="S8" s="655"/>
      <c r="T8" s="655"/>
      <c r="U8" s="655"/>
      <c r="V8" s="655"/>
      <c r="W8" s="655"/>
      <c r="X8" s="656"/>
    </row>
    <row r="9" spans="2:29"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row>
    <row r="10" spans="2:29"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row>
    <row r="11" spans="2:29" ht="38.25" customHeight="1">
      <c r="B11" s="640"/>
      <c r="C11" s="640"/>
      <c r="D11" s="640"/>
      <c r="E11" s="640"/>
      <c r="F11" s="640"/>
      <c r="G11" s="640"/>
      <c r="H11" s="640"/>
      <c r="I11" s="640"/>
      <c r="J11" s="640"/>
      <c r="K11" s="640"/>
      <c r="L11" s="640"/>
      <c r="M11" s="640"/>
      <c r="N11" s="640"/>
      <c r="O11" s="640"/>
      <c r="P11" s="640"/>
      <c r="Q11" s="640"/>
      <c r="R11" s="640"/>
      <c r="S11" s="640"/>
      <c r="T11" s="640"/>
      <c r="U11" s="640"/>
      <c r="V11" s="640"/>
      <c r="W11" s="640"/>
      <c r="X11" s="640"/>
    </row>
    <row r="12" spans="2:29"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2"/>
      <c r="Z12" s="2"/>
      <c r="AA12" s="2"/>
    </row>
    <row r="13" spans="2:29"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2"/>
      <c r="Z13" s="2"/>
      <c r="AA13" s="2"/>
    </row>
    <row r="14" spans="2:29" ht="29.25" customHeight="1">
      <c r="B14" s="632"/>
      <c r="C14" s="632"/>
      <c r="D14" s="632"/>
      <c r="E14" s="632"/>
      <c r="F14" s="632"/>
      <c r="G14" s="644"/>
      <c r="H14" s="644"/>
      <c r="I14" s="644"/>
      <c r="J14" s="644"/>
      <c r="K14" s="644"/>
      <c r="L14" s="644"/>
      <c r="M14" s="644"/>
      <c r="N14" s="644"/>
      <c r="O14" s="635">
        <v>1</v>
      </c>
      <c r="P14" s="636"/>
      <c r="Q14" s="636"/>
      <c r="R14" s="637"/>
      <c r="S14" s="591">
        <v>44561</v>
      </c>
      <c r="T14" s="592"/>
      <c r="U14" s="593"/>
      <c r="V14" s="594">
        <v>2021</v>
      </c>
      <c r="W14" s="594"/>
      <c r="X14" s="594"/>
    </row>
    <row r="15" spans="2:29"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23" t="s">
        <v>51</v>
      </c>
    </row>
    <row r="16" spans="2:29"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row>
    <row r="17" spans="2:27"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row>
    <row r="18" spans="2:27" ht="28.5" customHeight="1">
      <c r="B18" s="21"/>
      <c r="C18" s="607"/>
      <c r="D18" s="608"/>
      <c r="E18" s="644"/>
      <c r="F18" s="644"/>
      <c r="G18" s="632"/>
      <c r="H18" s="632"/>
      <c r="I18" s="632"/>
      <c r="J18" s="632"/>
      <c r="K18" s="632"/>
      <c r="L18" s="632"/>
      <c r="M18" s="595" t="s">
        <v>123</v>
      </c>
      <c r="N18" s="595"/>
      <c r="O18" s="595"/>
      <c r="P18" s="595"/>
      <c r="Q18" s="595"/>
      <c r="R18" s="596" t="s">
        <v>124</v>
      </c>
      <c r="S18" s="596"/>
      <c r="T18" s="596"/>
      <c r="U18" s="596"/>
      <c r="V18" s="597" t="s">
        <v>125</v>
      </c>
      <c r="W18" s="597"/>
      <c r="X18" s="597"/>
    </row>
    <row r="19" spans="2:27"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row>
    <row r="20" spans="2:27" ht="45.4" customHeight="1">
      <c r="B20" s="607"/>
      <c r="C20" s="643"/>
      <c r="D20" s="643"/>
      <c r="E20" s="643"/>
      <c r="F20" s="643"/>
      <c r="G20" s="643"/>
      <c r="H20" s="643"/>
      <c r="I20" s="643"/>
      <c r="J20" s="643"/>
      <c r="K20" s="643"/>
      <c r="L20" s="608"/>
      <c r="M20" s="607"/>
      <c r="N20" s="643"/>
      <c r="O20" s="643"/>
      <c r="P20" s="643"/>
      <c r="Q20" s="643"/>
      <c r="R20" s="643"/>
      <c r="S20" s="643"/>
      <c r="T20" s="643"/>
      <c r="U20" s="643"/>
      <c r="V20" s="643"/>
      <c r="W20" s="643"/>
      <c r="X20" s="608"/>
      <c r="AA20" s="25"/>
    </row>
    <row r="21" spans="2:27"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row>
    <row r="22" spans="2:27" ht="18.95" customHeight="1">
      <c r="B22" s="633" t="s">
        <v>12</v>
      </c>
      <c r="C22" s="633"/>
      <c r="D22" s="17" t="s">
        <v>13</v>
      </c>
      <c r="E22" s="17" t="s">
        <v>14</v>
      </c>
      <c r="F22" s="17" t="s">
        <v>15</v>
      </c>
      <c r="G22" s="641" t="s">
        <v>16</v>
      </c>
      <c r="H22" s="641"/>
      <c r="I22" s="641"/>
      <c r="J22" s="17" t="s">
        <v>17</v>
      </c>
      <c r="K22" s="641" t="s">
        <v>18</v>
      </c>
      <c r="L22" s="641"/>
      <c r="M22" s="641"/>
      <c r="N22" s="17" t="s">
        <v>19</v>
      </c>
      <c r="O22" s="641" t="s">
        <v>20</v>
      </c>
      <c r="P22" s="641"/>
      <c r="Q22" s="641" t="s">
        <v>21</v>
      </c>
      <c r="R22" s="641"/>
      <c r="S22" s="641"/>
      <c r="T22" s="641" t="s">
        <v>22</v>
      </c>
      <c r="U22" s="641"/>
      <c r="V22" s="641" t="s">
        <v>23</v>
      </c>
      <c r="W22" s="641"/>
      <c r="X22" s="17" t="s">
        <v>24</v>
      </c>
    </row>
    <row r="23" spans="2:27" ht="18.95" customHeight="1">
      <c r="B23" s="633" t="s">
        <v>25</v>
      </c>
      <c r="C23" s="633"/>
      <c r="D23" s="3">
        <v>0</v>
      </c>
      <c r="E23" s="3">
        <v>0</v>
      </c>
      <c r="F23" s="3">
        <v>0</v>
      </c>
      <c r="G23" s="632">
        <v>0</v>
      </c>
      <c r="H23" s="632"/>
      <c r="I23" s="632"/>
      <c r="J23" s="3">
        <v>0</v>
      </c>
      <c r="K23" s="632">
        <v>0</v>
      </c>
      <c r="L23" s="632"/>
      <c r="M23" s="632"/>
      <c r="N23" s="3">
        <v>0</v>
      </c>
      <c r="O23" s="632">
        <v>0</v>
      </c>
      <c r="P23" s="632"/>
      <c r="Q23" s="632">
        <v>0</v>
      </c>
      <c r="R23" s="632"/>
      <c r="S23" s="632"/>
      <c r="T23" s="632">
        <v>0</v>
      </c>
      <c r="U23" s="632"/>
      <c r="V23" s="632">
        <v>0</v>
      </c>
      <c r="W23" s="632"/>
      <c r="X23" s="3">
        <v>0</v>
      </c>
      <c r="Z23" s="26"/>
      <c r="AA23" s="26"/>
    </row>
    <row r="24" spans="2:27" ht="18.95" customHeight="1">
      <c r="B24" s="633" t="s">
        <v>26</v>
      </c>
      <c r="C24" s="633"/>
      <c r="D24" s="3">
        <v>0</v>
      </c>
      <c r="E24" s="3">
        <v>0</v>
      </c>
      <c r="F24" s="3">
        <v>0</v>
      </c>
      <c r="G24" s="632">
        <v>0</v>
      </c>
      <c r="H24" s="632"/>
      <c r="I24" s="632"/>
      <c r="J24" s="3">
        <v>0</v>
      </c>
      <c r="K24" s="632">
        <v>0</v>
      </c>
      <c r="L24" s="632"/>
      <c r="M24" s="632"/>
      <c r="N24" s="3">
        <v>0</v>
      </c>
      <c r="O24" s="632">
        <v>0</v>
      </c>
      <c r="P24" s="632"/>
      <c r="Q24" s="632">
        <v>0</v>
      </c>
      <c r="R24" s="632"/>
      <c r="S24" s="632"/>
      <c r="T24" s="632">
        <v>0</v>
      </c>
      <c r="U24" s="632"/>
      <c r="V24" s="632">
        <v>0</v>
      </c>
      <c r="W24" s="632"/>
      <c r="X24" s="3">
        <v>0</v>
      </c>
      <c r="Y24" s="25"/>
    </row>
    <row r="25" spans="2:27"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27" ht="25.5">
      <c r="B26" s="17" t="s">
        <v>27</v>
      </c>
      <c r="C26" s="17" t="s">
        <v>28</v>
      </c>
      <c r="D26" s="17" t="s">
        <v>29</v>
      </c>
      <c r="E26" s="17" t="s">
        <v>30</v>
      </c>
      <c r="F26" s="27"/>
      <c r="G26" s="27"/>
      <c r="H26" s="601"/>
      <c r="I26" s="601"/>
      <c r="J26" s="601"/>
      <c r="K26" s="601"/>
      <c r="L26" s="601"/>
      <c r="M26" s="601"/>
      <c r="N26" s="601"/>
      <c r="O26" s="601"/>
      <c r="P26" s="601"/>
      <c r="Q26" s="601"/>
      <c r="R26" s="601"/>
      <c r="S26" s="627"/>
      <c r="T26" s="627"/>
      <c r="U26" s="627"/>
      <c r="V26" s="627"/>
      <c r="W26" s="627"/>
      <c r="X26" s="623"/>
    </row>
    <row r="27" spans="2:27" ht="17.649999999999999" customHeight="1">
      <c r="B27" s="3" t="s">
        <v>31</v>
      </c>
      <c r="C27" s="4">
        <f>IF(ISERROR($D$23/$D$24),0,$D$23/$D$24)</f>
        <v>0</v>
      </c>
      <c r="D27" s="4">
        <f t="shared" ref="D27:D37" si="0">$E$18</f>
        <v>0</v>
      </c>
      <c r="E27" s="4">
        <f>$O$14</f>
        <v>1</v>
      </c>
      <c r="F27" s="28"/>
      <c r="G27" s="28"/>
      <c r="H27" s="602"/>
      <c r="I27" s="602"/>
      <c r="J27" s="590"/>
      <c r="K27" s="590"/>
      <c r="L27" s="5"/>
      <c r="M27" s="5"/>
      <c r="N27" s="602"/>
      <c r="O27" s="602"/>
      <c r="P27" s="602"/>
      <c r="Q27" s="602"/>
      <c r="R27" s="602"/>
      <c r="S27" s="628"/>
      <c r="T27" s="628"/>
      <c r="U27" s="628"/>
      <c r="V27" s="628"/>
      <c r="W27" s="628"/>
      <c r="X27" s="629"/>
    </row>
    <row r="28" spans="2:27" ht="17.649999999999999" customHeight="1">
      <c r="B28" s="3" t="s">
        <v>32</v>
      </c>
      <c r="C28" s="4">
        <f>IF(ISERROR($E$23/$E$24),0,$E$23/$E$24)</f>
        <v>0</v>
      </c>
      <c r="D28" s="4">
        <f t="shared" si="0"/>
        <v>0</v>
      </c>
      <c r="E28" s="4">
        <f t="shared" ref="E28:E37" si="1">$O$14</f>
        <v>1</v>
      </c>
      <c r="F28" s="28"/>
      <c r="G28" s="28"/>
      <c r="H28" s="590"/>
      <c r="I28" s="590"/>
      <c r="J28" s="590"/>
      <c r="K28" s="590"/>
      <c r="L28" s="6"/>
      <c r="M28" s="5"/>
      <c r="N28" s="590"/>
      <c r="O28" s="590"/>
      <c r="P28" s="590"/>
      <c r="Q28" s="590"/>
      <c r="R28" s="590"/>
      <c r="S28" s="628"/>
      <c r="T28" s="628"/>
      <c r="U28" s="628"/>
      <c r="V28" s="628"/>
      <c r="W28" s="628"/>
      <c r="X28" s="629"/>
    </row>
    <row r="29" spans="2:27" ht="17.649999999999999" customHeight="1">
      <c r="B29" s="3" t="s">
        <v>33</v>
      </c>
      <c r="C29" s="4">
        <f>IF(ISERROR($F$23/$F$24),0,$F$23/$F$24)</f>
        <v>0</v>
      </c>
      <c r="D29" s="4">
        <f t="shared" si="0"/>
        <v>0</v>
      </c>
      <c r="E29" s="4">
        <f t="shared" si="1"/>
        <v>1</v>
      </c>
      <c r="F29" s="28"/>
      <c r="G29" s="28"/>
      <c r="H29" s="590"/>
      <c r="I29" s="590"/>
      <c r="J29" s="590"/>
      <c r="K29" s="590"/>
      <c r="L29" s="6"/>
      <c r="M29" s="5"/>
      <c r="N29" s="590"/>
      <c r="O29" s="590"/>
      <c r="P29" s="590"/>
      <c r="Q29" s="590"/>
      <c r="R29" s="590"/>
      <c r="S29" s="628"/>
      <c r="T29" s="628"/>
      <c r="U29" s="628"/>
      <c r="V29" s="628"/>
      <c r="W29" s="628"/>
      <c r="X29" s="629"/>
    </row>
    <row r="30" spans="2:27" ht="17.649999999999999" customHeight="1">
      <c r="B30" s="3" t="s">
        <v>34</v>
      </c>
      <c r="C30" s="4">
        <f>IF(ISERROR($G$23/$G$24),0,$G$23/$G$24)</f>
        <v>0</v>
      </c>
      <c r="D30" s="4">
        <f t="shared" si="0"/>
        <v>0</v>
      </c>
      <c r="E30" s="4">
        <f t="shared" si="1"/>
        <v>1</v>
      </c>
      <c r="F30" s="28"/>
      <c r="G30" s="28"/>
      <c r="H30" s="590"/>
      <c r="I30" s="590"/>
      <c r="J30" s="590"/>
      <c r="K30" s="590"/>
      <c r="L30" s="6"/>
      <c r="M30" s="5"/>
      <c r="N30" s="590"/>
      <c r="O30" s="590"/>
      <c r="P30" s="590"/>
      <c r="Q30" s="590"/>
      <c r="R30" s="590"/>
      <c r="S30" s="628"/>
      <c r="T30" s="628"/>
      <c r="U30" s="628"/>
      <c r="V30" s="628"/>
      <c r="W30" s="628"/>
      <c r="X30" s="629"/>
    </row>
    <row r="31" spans="2:27" ht="17.649999999999999" customHeight="1">
      <c r="B31" s="3" t="s">
        <v>35</v>
      </c>
      <c r="C31" s="4">
        <f>IF(ISERROR($J$23/$J$24),0,$J$23/$J$24)</f>
        <v>0</v>
      </c>
      <c r="D31" s="4">
        <f t="shared" si="0"/>
        <v>0</v>
      </c>
      <c r="E31" s="4">
        <f t="shared" si="1"/>
        <v>1</v>
      </c>
      <c r="F31" s="28"/>
      <c r="G31" s="28"/>
      <c r="H31" s="590"/>
      <c r="I31" s="590"/>
      <c r="J31" s="590"/>
      <c r="K31" s="590"/>
      <c r="L31" s="6"/>
      <c r="M31" s="5"/>
      <c r="N31" s="590"/>
      <c r="O31" s="590"/>
      <c r="P31" s="590"/>
      <c r="Q31" s="590"/>
      <c r="R31" s="590"/>
      <c r="S31" s="628"/>
      <c r="T31" s="628"/>
      <c r="U31" s="628"/>
      <c r="V31" s="628"/>
      <c r="W31" s="628"/>
      <c r="X31" s="629"/>
    </row>
    <row r="32" spans="2:27" ht="17.649999999999999" customHeight="1">
      <c r="B32" s="3" t="s">
        <v>36</v>
      </c>
      <c r="C32" s="4">
        <f>IF(ISERROR($K$23/$K$24),0,$K$23/$K$24)</f>
        <v>0</v>
      </c>
      <c r="D32" s="4">
        <f t="shared" si="0"/>
        <v>0</v>
      </c>
      <c r="E32" s="4">
        <f t="shared" si="1"/>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3" t="s">
        <v>37</v>
      </c>
      <c r="C33" s="4">
        <f>IF(ISERROR($N$23/$N$24),0,$N$23/$N$24)</f>
        <v>0</v>
      </c>
      <c r="D33" s="4">
        <f t="shared" si="0"/>
        <v>0</v>
      </c>
      <c r="E33" s="4">
        <f t="shared" si="1"/>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3" t="s">
        <v>38</v>
      </c>
      <c r="C34" s="4">
        <f>IF(ISERROR($O$23/$O$24),0,$O$23/$O$24)</f>
        <v>0</v>
      </c>
      <c r="D34" s="4">
        <f t="shared" si="0"/>
        <v>0</v>
      </c>
      <c r="E34" s="4">
        <f t="shared" si="1"/>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3" t="s">
        <v>39</v>
      </c>
      <c r="C35" s="4">
        <f>IF(ISERROR($Q$23/$Q$24),0,$Q$23/$Q$24)</f>
        <v>0</v>
      </c>
      <c r="D35" s="4">
        <f t="shared" si="0"/>
        <v>0</v>
      </c>
      <c r="E35" s="4">
        <f t="shared" si="1"/>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3" t="s">
        <v>40</v>
      </c>
      <c r="C36" s="4">
        <f>IF(ISERROR($T$23/$T$24),0,$T$23/$T$24)</f>
        <v>0</v>
      </c>
      <c r="D36" s="4">
        <f t="shared" si="0"/>
        <v>0</v>
      </c>
      <c r="E36" s="4">
        <f t="shared" si="1"/>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3" t="s">
        <v>41</v>
      </c>
      <c r="C37" s="4">
        <f>IF(ISERROR($V$23/$V$24),0,$V$23/$V$24)</f>
        <v>0</v>
      </c>
      <c r="D37" s="4">
        <f t="shared" si="0"/>
        <v>0</v>
      </c>
      <c r="E37" s="4">
        <f t="shared" si="1"/>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3" t="s">
        <v>42</v>
      </c>
      <c r="C38" s="4">
        <v>0</v>
      </c>
      <c r="D38" s="4">
        <v>0</v>
      </c>
      <c r="E38" s="4">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c r="Z40" s="32"/>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9"/>
      <c r="Z41" s="9"/>
      <c r="AA41" s="9"/>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10"/>
      <c r="Z42" s="11"/>
      <c r="AA42" s="12"/>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10"/>
      <c r="Z43" s="11"/>
      <c r="AA43" s="12"/>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10"/>
      <c r="Z44" s="11"/>
      <c r="AA44" s="12"/>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10"/>
      <c r="Z45" s="11"/>
      <c r="AA45" s="12"/>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10"/>
      <c r="Z46" s="11"/>
      <c r="AA46" s="12"/>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10"/>
      <c r="Z47" s="11"/>
      <c r="AA47" s="12"/>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10"/>
      <c r="Z48" s="11"/>
      <c r="AA48" s="12"/>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10"/>
      <c r="Z49" s="11"/>
      <c r="AA49" s="12"/>
    </row>
    <row r="50" spans="2:27" ht="13.5" customHeight="1">
      <c r="G50" s="590"/>
      <c r="H50" s="590"/>
      <c r="I50" s="590"/>
      <c r="J50" s="590"/>
      <c r="K50" s="590"/>
      <c r="L50" s="590"/>
      <c r="M50" s="590"/>
      <c r="N50" s="590"/>
      <c r="O50" s="590"/>
      <c r="P50" s="590"/>
      <c r="Q50" s="590"/>
      <c r="R50" s="590"/>
      <c r="S50" s="590"/>
      <c r="T50" s="590"/>
      <c r="U50" s="590"/>
      <c r="V50" s="590"/>
      <c r="W50" s="590"/>
      <c r="X50" s="590"/>
      <c r="Y50" s="10"/>
      <c r="Z50" s="11"/>
      <c r="AA50" s="12"/>
    </row>
  </sheetData>
  <sheetProtection selectLockedCells="1" selectUnlockedCells="1"/>
  <mergeCells count="137">
    <mergeCell ref="C18:D18"/>
    <mergeCell ref="E18:F18"/>
    <mergeCell ref="B12:F13"/>
    <mergeCell ref="G12:J13"/>
    <mergeCell ref="K12:N13"/>
    <mergeCell ref="O12:X12"/>
    <mergeCell ref="O13:R13"/>
    <mergeCell ref="S13:U13"/>
    <mergeCell ref="V13:X13"/>
    <mergeCell ref="B16:B17"/>
    <mergeCell ref="C16:D17"/>
    <mergeCell ref="E16:F17"/>
    <mergeCell ref="G16:L17"/>
    <mergeCell ref="M17:Q17"/>
    <mergeCell ref="R17:U17"/>
    <mergeCell ref="V17:X17"/>
    <mergeCell ref="M16:X16"/>
    <mergeCell ref="B6:X6"/>
    <mergeCell ref="B14:F14"/>
    <mergeCell ref="O14:R14"/>
    <mergeCell ref="B10:X10"/>
    <mergeCell ref="B11:X11"/>
    <mergeCell ref="B9:X9"/>
    <mergeCell ref="B21:X21"/>
    <mergeCell ref="B22:C22"/>
    <mergeCell ref="G22:I22"/>
    <mergeCell ref="K22:M22"/>
    <mergeCell ref="B15:X15"/>
    <mergeCell ref="G18:L18"/>
    <mergeCell ref="O22:P22"/>
    <mergeCell ref="Q22:S22"/>
    <mergeCell ref="T22:U22"/>
    <mergeCell ref="V22:W22"/>
    <mergeCell ref="B19:L19"/>
    <mergeCell ref="M19:X19"/>
    <mergeCell ref="B20:L20"/>
    <mergeCell ref="M20:X20"/>
    <mergeCell ref="K14:N14"/>
    <mergeCell ref="G14:J14"/>
    <mergeCell ref="B7:F8"/>
    <mergeCell ref="G7:X8"/>
    <mergeCell ref="V23:W23"/>
    <mergeCell ref="B24:C24"/>
    <mergeCell ref="G24:I24"/>
    <mergeCell ref="K24:M24"/>
    <mergeCell ref="O24:P24"/>
    <mergeCell ref="Q24:S24"/>
    <mergeCell ref="T24:U24"/>
    <mergeCell ref="V24:W24"/>
    <mergeCell ref="B23:C23"/>
    <mergeCell ref="G23:I23"/>
    <mergeCell ref="K23:M23"/>
    <mergeCell ref="O23:P23"/>
    <mergeCell ref="Q23:S23"/>
    <mergeCell ref="T23:U23"/>
    <mergeCell ref="N26:O27"/>
    <mergeCell ref="P26:R27"/>
    <mergeCell ref="S26:X26"/>
    <mergeCell ref="J27:K27"/>
    <mergeCell ref="S27:X38"/>
    <mergeCell ref="H28:I28"/>
    <mergeCell ref="J28:K28"/>
    <mergeCell ref="N28:O28"/>
    <mergeCell ref="P28:R28"/>
    <mergeCell ref="J29:K29"/>
    <mergeCell ref="N29:O29"/>
    <mergeCell ref="P29:R29"/>
    <mergeCell ref="P33:R33"/>
    <mergeCell ref="N33:O33"/>
    <mergeCell ref="H30:I30"/>
    <mergeCell ref="J30:K30"/>
    <mergeCell ref="N30:O30"/>
    <mergeCell ref="P30:R30"/>
    <mergeCell ref="H31:I31"/>
    <mergeCell ref="J31:K31"/>
    <mergeCell ref="N31:O31"/>
    <mergeCell ref="H38:I38"/>
    <mergeCell ref="J38:K38"/>
    <mergeCell ref="N38:O38"/>
    <mergeCell ref="P38:R38"/>
    <mergeCell ref="B41:X41"/>
    <mergeCell ref="B42:X42"/>
    <mergeCell ref="H36:I36"/>
    <mergeCell ref="J36:K36"/>
    <mergeCell ref="N36:O36"/>
    <mergeCell ref="P36:R36"/>
    <mergeCell ref="H37:I37"/>
    <mergeCell ref="J37:K37"/>
    <mergeCell ref="N37:O37"/>
    <mergeCell ref="P37:R37"/>
    <mergeCell ref="B40:X40"/>
    <mergeCell ref="G50:H50"/>
    <mergeCell ref="I50:X50"/>
    <mergeCell ref="B46:H46"/>
    <mergeCell ref="L46:M46"/>
    <mergeCell ref="Q46:R46"/>
    <mergeCell ref="I47:X47"/>
    <mergeCell ref="B48:X48"/>
    <mergeCell ref="B43:X43"/>
    <mergeCell ref="B44:X44"/>
    <mergeCell ref="G45:H45"/>
    <mergeCell ref="I45:J45"/>
    <mergeCell ref="K45:L45"/>
    <mergeCell ref="H29:I29"/>
    <mergeCell ref="H34:I34"/>
    <mergeCell ref="S14:U14"/>
    <mergeCell ref="V14:X14"/>
    <mergeCell ref="J34:K34"/>
    <mergeCell ref="N34:O34"/>
    <mergeCell ref="P34:R34"/>
    <mergeCell ref="J35:K35"/>
    <mergeCell ref="N35:O35"/>
    <mergeCell ref="P35:R35"/>
    <mergeCell ref="H32:I32"/>
    <mergeCell ref="J32:K32"/>
    <mergeCell ref="N32:O32"/>
    <mergeCell ref="P32:R32"/>
    <mergeCell ref="M18:Q18"/>
    <mergeCell ref="R18:U18"/>
    <mergeCell ref="V18:X18"/>
    <mergeCell ref="P31:R31"/>
    <mergeCell ref="H33:I33"/>
    <mergeCell ref="J33:K33"/>
    <mergeCell ref="H35:I35"/>
    <mergeCell ref="B25:X25"/>
    <mergeCell ref="H26:I27"/>
    <mergeCell ref="J26:M26"/>
    <mergeCell ref="C5:D5"/>
    <mergeCell ref="E5:G5"/>
    <mergeCell ref="H5:J5"/>
    <mergeCell ref="K5:N5"/>
    <mergeCell ref="O5:R5"/>
    <mergeCell ref="S5:V5"/>
    <mergeCell ref="W5:X5"/>
    <mergeCell ref="B1:T1"/>
    <mergeCell ref="B2:T4"/>
    <mergeCell ref="U1:X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2:F24"/>
  <sheetViews>
    <sheetView workbookViewId="0">
      <selection activeCell="D15" sqref="D15"/>
    </sheetView>
  </sheetViews>
  <sheetFormatPr baseColWidth="10" defaultColWidth="11" defaultRowHeight="14.25"/>
  <cols>
    <col min="1" max="1" width="53.375" style="19" customWidth="1"/>
    <col min="2" max="3" width="11" style="19"/>
    <col min="4" max="4" width="36.625" style="19" customWidth="1"/>
    <col min="5" max="5" width="11" style="19"/>
    <col min="6" max="6" width="18.5" style="22" customWidth="1"/>
    <col min="7" max="16384" width="11" style="19"/>
  </cols>
  <sheetData>
    <row r="2" spans="1:6">
      <c r="A2" s="18" t="s">
        <v>79</v>
      </c>
    </row>
    <row r="3" spans="1:6">
      <c r="A3" s="20" t="s">
        <v>91</v>
      </c>
      <c r="D3" s="19" t="s">
        <v>99</v>
      </c>
      <c r="F3" s="22" t="s">
        <v>110</v>
      </c>
    </row>
    <row r="4" spans="1:6">
      <c r="A4" s="20" t="s">
        <v>92</v>
      </c>
      <c r="D4" s="19" t="s">
        <v>100</v>
      </c>
      <c r="F4" s="22" t="s">
        <v>111</v>
      </c>
    </row>
    <row r="5" spans="1:6">
      <c r="A5" s="20" t="s">
        <v>78</v>
      </c>
      <c r="D5" s="19" t="s">
        <v>101</v>
      </c>
      <c r="F5" s="22" t="s">
        <v>112</v>
      </c>
    </row>
    <row r="6" spans="1:6" ht="28.5">
      <c r="A6" s="20" t="s">
        <v>79</v>
      </c>
      <c r="D6" s="19" t="s">
        <v>102</v>
      </c>
      <c r="F6" s="22" t="s">
        <v>205</v>
      </c>
    </row>
    <row r="7" spans="1:6">
      <c r="A7" s="20" t="s">
        <v>80</v>
      </c>
      <c r="D7" s="19" t="s">
        <v>103</v>
      </c>
      <c r="F7" s="22" t="s">
        <v>113</v>
      </c>
    </row>
    <row r="8" spans="1:6">
      <c r="A8" s="20" t="s">
        <v>84</v>
      </c>
      <c r="D8" s="19" t="s">
        <v>104</v>
      </c>
      <c r="F8" s="22" t="s">
        <v>114</v>
      </c>
    </row>
    <row r="9" spans="1:6">
      <c r="A9" s="20" t="s">
        <v>83</v>
      </c>
      <c r="D9" s="19" t="s">
        <v>105</v>
      </c>
    </row>
    <row r="10" spans="1:6">
      <c r="A10" s="20" t="s">
        <v>81</v>
      </c>
      <c r="D10" s="19" t="s">
        <v>106</v>
      </c>
    </row>
    <row r="11" spans="1:6" ht="28.5">
      <c r="A11" s="20" t="s">
        <v>85</v>
      </c>
      <c r="D11" s="19" t="s">
        <v>371</v>
      </c>
    </row>
    <row r="12" spans="1:6">
      <c r="A12" s="20" t="s">
        <v>77</v>
      </c>
      <c r="D12" s="19" t="s">
        <v>107</v>
      </c>
    </row>
    <row r="13" spans="1:6">
      <c r="A13" s="20" t="s">
        <v>86</v>
      </c>
      <c r="D13" s="19" t="s">
        <v>108</v>
      </c>
    </row>
    <row r="14" spans="1:6">
      <c r="A14" s="20" t="s">
        <v>82</v>
      </c>
    </row>
    <row r="15" spans="1:6">
      <c r="A15" s="20" t="s">
        <v>87</v>
      </c>
    </row>
    <row r="16" spans="1:6">
      <c r="A16" s="20" t="s">
        <v>88</v>
      </c>
    </row>
    <row r="17" spans="1:1">
      <c r="A17" s="20" t="s">
        <v>89</v>
      </c>
    </row>
    <row r="18" spans="1:1">
      <c r="A18" s="20" t="s">
        <v>90</v>
      </c>
    </row>
    <row r="19" spans="1:1">
      <c r="A19" s="20" t="s">
        <v>96</v>
      </c>
    </row>
    <row r="20" spans="1:1">
      <c r="A20" s="20" t="s">
        <v>97</v>
      </c>
    </row>
    <row r="21" spans="1:1">
      <c r="A21" s="20" t="s">
        <v>98</v>
      </c>
    </row>
    <row r="22" spans="1:1">
      <c r="A22" s="20" t="s">
        <v>93</v>
      </c>
    </row>
    <row r="23" spans="1:1">
      <c r="A23" s="20" t="s">
        <v>94</v>
      </c>
    </row>
    <row r="24" spans="1:1">
      <c r="A24" s="20" t="s">
        <v>95</v>
      </c>
    </row>
  </sheetData>
  <dataValidations count="1">
    <dataValidation type="list" allowBlank="1" showInputMessage="1" showErrorMessage="1" sqref="A2">
      <formula1>$A$3:$A$24</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tabColor theme="9"/>
    <pageSetUpPr fitToPage="1"/>
  </sheetPr>
  <dimension ref="B1:AR50"/>
  <sheetViews>
    <sheetView zoomScale="80" zoomScaleNormal="80" zoomScaleSheetLayoutView="100" workbookViewId="0">
      <selection activeCell="AD22" sqref="AD22:AH2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6" width="3.625" style="46" customWidth="1"/>
    <col min="37" max="37" width="6.5" style="46" customWidth="1"/>
    <col min="38" max="41" width="3.375" style="46" customWidth="1"/>
    <col min="42" max="43" width="5.75" style="46" customWidth="1"/>
    <col min="44" max="44" width="14" style="61" customWidth="1"/>
    <col min="45" max="46" width="4.625" style="23"/>
    <col min="47" max="47" width="5.75" style="23" bestFit="1" customWidth="1"/>
    <col min="48"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0"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314</v>
      </c>
      <c r="AJ7" s="673"/>
      <c r="AK7" s="673"/>
      <c r="AL7" s="673">
        <v>314</v>
      </c>
      <c r="AM7" s="673"/>
      <c r="AN7" s="673"/>
      <c r="AO7" s="673"/>
      <c r="AP7" s="674">
        <f t="shared" ref="AP7:AP10" si="0">AL7/AI7</f>
        <v>1</v>
      </c>
      <c r="AQ7" s="674"/>
      <c r="AR7" s="668">
        <f>SUM(AP7:AQ10)/4</f>
        <v>0.96609142456047992</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345</v>
      </c>
      <c r="AJ8" s="673"/>
      <c r="AK8" s="673"/>
      <c r="AL8" s="673">
        <v>345</v>
      </c>
      <c r="AM8" s="673"/>
      <c r="AN8" s="673"/>
      <c r="AO8" s="673"/>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297</v>
      </c>
      <c r="AJ9" s="673"/>
      <c r="AK9" s="673"/>
      <c r="AL9" s="673">
        <v>278</v>
      </c>
      <c r="AM9" s="673"/>
      <c r="AN9" s="673"/>
      <c r="AO9" s="673"/>
      <c r="AP9" s="674">
        <f t="shared" si="0"/>
        <v>0.93602693602693599</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307</v>
      </c>
      <c r="AJ10" s="673"/>
      <c r="AK10" s="673"/>
      <c r="AL10" s="673">
        <v>285</v>
      </c>
      <c r="AM10" s="673"/>
      <c r="AN10" s="673"/>
      <c r="AO10" s="673"/>
      <c r="AP10" s="674">
        <f t="shared" si="0"/>
        <v>0.92833876221498368</v>
      </c>
      <c r="AQ10" s="674"/>
      <c r="AR10" s="668"/>
    </row>
    <row r="11" spans="2:44" ht="38.25" customHeight="1">
      <c r="B11" s="640" t="s">
        <v>147</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116</v>
      </c>
      <c r="AJ11" s="672"/>
      <c r="AK11" s="672"/>
      <c r="AL11" s="672">
        <v>116</v>
      </c>
      <c r="AM11" s="672"/>
      <c r="AN11" s="672"/>
      <c r="AO11" s="672"/>
      <c r="AP11" s="671">
        <f>AL11/AI11</f>
        <v>1</v>
      </c>
      <c r="AQ11" s="671"/>
      <c r="AR11" s="669">
        <f>SUM(AP11:AQ14)/4</f>
        <v>0.99609375</v>
      </c>
    </row>
    <row r="12" spans="2:44" ht="14.25" customHeight="1">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143</v>
      </c>
      <c r="AJ12" s="672"/>
      <c r="AK12" s="672"/>
      <c r="AL12" s="672">
        <v>143</v>
      </c>
      <c r="AM12" s="672"/>
      <c r="AN12" s="672"/>
      <c r="AO12" s="672"/>
      <c r="AP12" s="671">
        <f t="shared" ref="AP12:AP14"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112</v>
      </c>
      <c r="AJ13" s="672"/>
      <c r="AK13" s="672"/>
      <c r="AL13" s="672">
        <v>112</v>
      </c>
      <c r="AM13" s="672"/>
      <c r="AN13" s="672"/>
      <c r="AO13" s="672"/>
      <c r="AP13" s="671">
        <f t="shared" si="1"/>
        <v>1</v>
      </c>
      <c r="AQ13" s="671"/>
      <c r="AR13" s="669"/>
    </row>
    <row r="14" spans="2:44" ht="29.25" customHeight="1">
      <c r="B14" s="632" t="s">
        <v>197</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128</v>
      </c>
      <c r="AJ14" s="672"/>
      <c r="AK14" s="672"/>
      <c r="AL14" s="672">
        <v>126</v>
      </c>
      <c r="AM14" s="672"/>
      <c r="AN14" s="672"/>
      <c r="AO14" s="672"/>
      <c r="AP14" s="671">
        <f t="shared" si="1"/>
        <v>0.984375</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80</v>
      </c>
      <c r="AJ15" s="673"/>
      <c r="AK15" s="673"/>
      <c r="AL15" s="673">
        <v>80</v>
      </c>
      <c r="AM15" s="673"/>
      <c r="AN15" s="673"/>
      <c r="AO15" s="673"/>
      <c r="AP15" s="674">
        <f t="shared" ref="AP15:AP22" si="2">AL15/AI15</f>
        <v>1</v>
      </c>
      <c r="AQ15" s="674"/>
      <c r="AR15" s="668">
        <f t="shared" ref="AR15" si="3">SUM(AP15:AQ18)/4</f>
        <v>0.95016754079254084</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65</v>
      </c>
      <c r="AJ16" s="673"/>
      <c r="AK16" s="673"/>
      <c r="AL16" s="673">
        <v>63</v>
      </c>
      <c r="AM16" s="673"/>
      <c r="AN16" s="673"/>
      <c r="AO16" s="673"/>
      <c r="AP16" s="674">
        <f t="shared" si="2"/>
        <v>0.96923076923076923</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66</v>
      </c>
      <c r="AJ17" s="673"/>
      <c r="AK17" s="673"/>
      <c r="AL17" s="673">
        <v>59</v>
      </c>
      <c r="AM17" s="673"/>
      <c r="AN17" s="673"/>
      <c r="AO17" s="673"/>
      <c r="AP17" s="674">
        <f t="shared" si="2"/>
        <v>0.89393939393939392</v>
      </c>
      <c r="AQ17" s="674"/>
      <c r="AR17" s="668"/>
    </row>
    <row r="18" spans="2:44" ht="28.5" customHeight="1">
      <c r="B18" s="37" t="s">
        <v>195</v>
      </c>
      <c r="C18" s="607" t="s">
        <v>112</v>
      </c>
      <c r="D18" s="608"/>
      <c r="E18" s="644">
        <v>1</v>
      </c>
      <c r="F18" s="644"/>
      <c r="G18" s="632" t="s">
        <v>196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64</v>
      </c>
      <c r="AJ18" s="673"/>
      <c r="AK18" s="673"/>
      <c r="AL18" s="673">
        <v>60</v>
      </c>
      <c r="AM18" s="673"/>
      <c r="AN18" s="673"/>
      <c r="AO18" s="673"/>
      <c r="AP18" s="674">
        <f t="shared" si="2"/>
        <v>0.9375</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74</v>
      </c>
      <c r="AJ19" s="672"/>
      <c r="AK19" s="672"/>
      <c r="AL19" s="672">
        <v>63</v>
      </c>
      <c r="AM19" s="672"/>
      <c r="AN19" s="672"/>
      <c r="AO19" s="672"/>
      <c r="AP19" s="671">
        <f t="shared" si="2"/>
        <v>0.85135135135135132</v>
      </c>
      <c r="AQ19" s="671"/>
      <c r="AR19" s="669" t="e">
        <f t="shared" ref="AR19" si="4">SUM(AP19:AQ22)/4</f>
        <v>#DIV/0!</v>
      </c>
    </row>
    <row r="20" spans="2:44" ht="45.4" customHeight="1">
      <c r="B20" s="607" t="s">
        <v>198</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0"/>
      <c r="AJ20" s="670"/>
      <c r="AK20" s="670"/>
      <c r="AL20" s="670"/>
      <c r="AM20" s="670"/>
      <c r="AN20" s="670"/>
      <c r="AO20" s="670"/>
      <c r="AP20" s="671" t="e">
        <f t="shared" si="2"/>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2"/>
        <v>#DIV/0!</v>
      </c>
      <c r="AQ21" s="671"/>
      <c r="AR21" s="669"/>
    </row>
    <row r="22" spans="2:44" ht="18.95" customHeight="1">
      <c r="B22" s="633" t="s">
        <v>12</v>
      </c>
      <c r="C22" s="633"/>
      <c r="D22" s="38" t="s">
        <v>13</v>
      </c>
      <c r="E22" s="38" t="s">
        <v>14</v>
      </c>
      <c r="F22" s="38" t="s">
        <v>15</v>
      </c>
      <c r="G22" s="641" t="s">
        <v>16</v>
      </c>
      <c r="H22" s="641"/>
      <c r="I22" s="641"/>
      <c r="J22" s="38" t="s">
        <v>17</v>
      </c>
      <c r="K22" s="641" t="s">
        <v>18</v>
      </c>
      <c r="L22" s="641"/>
      <c r="M22" s="641"/>
      <c r="N22" s="38" t="s">
        <v>19</v>
      </c>
      <c r="O22" s="641" t="s">
        <v>20</v>
      </c>
      <c r="P22" s="641"/>
      <c r="Q22" s="641" t="s">
        <v>21</v>
      </c>
      <c r="R22" s="641"/>
      <c r="S22" s="641"/>
      <c r="T22" s="641" t="s">
        <v>22</v>
      </c>
      <c r="U22" s="641"/>
      <c r="V22" s="641" t="s">
        <v>23</v>
      </c>
      <c r="W22" s="641"/>
      <c r="X22" s="38" t="s">
        <v>24</v>
      </c>
      <c r="AB22" s="679"/>
      <c r="AC22" s="679"/>
      <c r="AD22" s="681" t="s">
        <v>142</v>
      </c>
      <c r="AE22" s="681"/>
      <c r="AF22" s="681"/>
      <c r="AG22" s="681"/>
      <c r="AH22" s="681"/>
      <c r="AI22" s="672"/>
      <c r="AJ22" s="672"/>
      <c r="AK22" s="672"/>
      <c r="AL22" s="672"/>
      <c r="AM22" s="672"/>
      <c r="AN22" s="672"/>
      <c r="AO22" s="672"/>
      <c r="AP22" s="671" t="e">
        <f t="shared" si="2"/>
        <v>#DIV/0!</v>
      </c>
      <c r="AQ22" s="671"/>
      <c r="AR22" s="669"/>
    </row>
    <row r="23" spans="2:44" ht="18.95" customHeight="1">
      <c r="B23" s="633" t="s">
        <v>25</v>
      </c>
      <c r="C23" s="633"/>
      <c r="D23" s="682">
        <f>AL15</f>
        <v>80</v>
      </c>
      <c r="E23" s="683"/>
      <c r="F23" s="684"/>
      <c r="G23" s="685">
        <f>AL16</f>
        <v>63</v>
      </c>
      <c r="H23" s="643"/>
      <c r="I23" s="643"/>
      <c r="J23" s="643"/>
      <c r="K23" s="643"/>
      <c r="L23" s="643"/>
      <c r="M23" s="608"/>
      <c r="N23" s="682">
        <f>AL17</f>
        <v>59</v>
      </c>
      <c r="O23" s="683"/>
      <c r="P23" s="683"/>
      <c r="Q23" s="683"/>
      <c r="R23" s="683"/>
      <c r="S23" s="684"/>
      <c r="T23" s="685">
        <f>AL18</f>
        <v>60</v>
      </c>
      <c r="U23" s="643"/>
      <c r="V23" s="643"/>
      <c r="W23" s="643"/>
      <c r="X23" s="608"/>
      <c r="Z23" s="52"/>
      <c r="AA23" s="52"/>
    </row>
    <row r="24" spans="2:44" ht="18.95" customHeight="1">
      <c r="B24" s="633" t="s">
        <v>26</v>
      </c>
      <c r="C24" s="633"/>
      <c r="D24" s="682">
        <f>AI15</f>
        <v>80</v>
      </c>
      <c r="E24" s="683"/>
      <c r="F24" s="684"/>
      <c r="G24" s="685">
        <f>AI16</f>
        <v>65</v>
      </c>
      <c r="H24" s="643"/>
      <c r="I24" s="643"/>
      <c r="J24" s="643"/>
      <c r="K24" s="643"/>
      <c r="L24" s="643"/>
      <c r="M24" s="608"/>
      <c r="N24" s="682">
        <f>AI17</f>
        <v>66</v>
      </c>
      <c r="O24" s="683"/>
      <c r="P24" s="683"/>
      <c r="Q24" s="683"/>
      <c r="R24" s="683"/>
      <c r="S24" s="684"/>
      <c r="T24" s="685">
        <f>AI18</f>
        <v>64</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38" t="s">
        <v>27</v>
      </c>
      <c r="C26" s="38" t="s">
        <v>28</v>
      </c>
      <c r="D26" s="38"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3" t="s">
        <v>32</v>
      </c>
      <c r="C28" s="687"/>
      <c r="D28" s="687"/>
      <c r="E28" s="92">
        <f t="shared" ref="E28:E29" si="5">$O$14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3" t="s">
        <v>33</v>
      </c>
      <c r="C29" s="688"/>
      <c r="D29" s="688"/>
      <c r="E29" s="92">
        <f t="shared" si="5"/>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3" t="s">
        <v>34</v>
      </c>
      <c r="C30" s="686">
        <f>IF(ISERROR(G23/G24),0,G23/G24)</f>
        <v>0.96923076923076923</v>
      </c>
      <c r="D30" s="686">
        <f t="shared" ref="D30:D33" si="6">$E$18</f>
        <v>1</v>
      </c>
      <c r="E30" s="92">
        <f t="shared" ref="E30:E37" si="7">$O$14</f>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3" t="s">
        <v>35</v>
      </c>
      <c r="C31" s="687"/>
      <c r="D31" s="687"/>
      <c r="E31" s="92">
        <f t="shared" si="7"/>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3" t="s">
        <v>36</v>
      </c>
      <c r="C32" s="688"/>
      <c r="D32" s="688"/>
      <c r="E32" s="92">
        <f t="shared" si="7"/>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3" t="s">
        <v>37</v>
      </c>
      <c r="C33" s="686">
        <f>IF(ISERROR(N23/N24),0,T23/T24)</f>
        <v>0.9375</v>
      </c>
      <c r="D33" s="686">
        <f t="shared" si="6"/>
        <v>1</v>
      </c>
      <c r="E33" s="92">
        <f t="shared" si="7"/>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3" t="s">
        <v>38</v>
      </c>
      <c r="C34" s="687"/>
      <c r="D34" s="687"/>
      <c r="E34" s="92">
        <f t="shared" si="7"/>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3" t="s">
        <v>39</v>
      </c>
      <c r="C35" s="688"/>
      <c r="D35" s="688"/>
      <c r="E35" s="92">
        <f t="shared" si="7"/>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3" t="s">
        <v>40</v>
      </c>
      <c r="C36" s="686">
        <f>IF(ISERROR(T23/T24),0,T23/T24)</f>
        <v>0.9375</v>
      </c>
      <c r="D36" s="686">
        <f>$E$18</f>
        <v>1</v>
      </c>
      <c r="E36" s="92">
        <f t="shared" si="7"/>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3" t="s">
        <v>41</v>
      </c>
      <c r="C37" s="687"/>
      <c r="D37" s="687"/>
      <c r="E37" s="92">
        <f t="shared" si="7"/>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t="s">
        <v>200</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t="s">
        <v>201</v>
      </c>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199</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I47:X47"/>
    <mergeCell ref="B48:X48"/>
    <mergeCell ref="G50:H50"/>
    <mergeCell ref="I50:X50"/>
    <mergeCell ref="B42:X42"/>
    <mergeCell ref="B43:X43"/>
    <mergeCell ref="B44:X44"/>
    <mergeCell ref="G45:H45"/>
    <mergeCell ref="I45:J45"/>
    <mergeCell ref="K45:L45"/>
    <mergeCell ref="H33:I33"/>
    <mergeCell ref="J33:K33"/>
    <mergeCell ref="N33:O33"/>
    <mergeCell ref="P33:R33"/>
    <mergeCell ref="H26:I27"/>
    <mergeCell ref="J26:M26"/>
    <mergeCell ref="N26:O27"/>
    <mergeCell ref="P26:R27"/>
    <mergeCell ref="D36:D38"/>
    <mergeCell ref="H34:I34"/>
    <mergeCell ref="J34:K34"/>
    <mergeCell ref="N34:O34"/>
    <mergeCell ref="P34:R34"/>
    <mergeCell ref="H35:I35"/>
    <mergeCell ref="J35:K35"/>
    <mergeCell ref="N35:O35"/>
    <mergeCell ref="P35:R35"/>
    <mergeCell ref="S26:X26"/>
    <mergeCell ref="J27:K27"/>
    <mergeCell ref="S27:X38"/>
    <mergeCell ref="H28:I28"/>
    <mergeCell ref="B24:C24"/>
    <mergeCell ref="H30:I30"/>
    <mergeCell ref="J30:K30"/>
    <mergeCell ref="N30:O30"/>
    <mergeCell ref="P30:R30"/>
    <mergeCell ref="H31:I31"/>
    <mergeCell ref="J31:K31"/>
    <mergeCell ref="N31:O31"/>
    <mergeCell ref="P31:R31"/>
    <mergeCell ref="J28:K28"/>
    <mergeCell ref="N28:O28"/>
    <mergeCell ref="P28:R28"/>
    <mergeCell ref="H29:I29"/>
    <mergeCell ref="J29:K29"/>
    <mergeCell ref="N29:O29"/>
    <mergeCell ref="P29:R29"/>
    <mergeCell ref="H32:I32"/>
    <mergeCell ref="J32:K32"/>
    <mergeCell ref="N32:O32"/>
    <mergeCell ref="P32:R32"/>
    <mergeCell ref="B23:C23"/>
    <mergeCell ref="B25:X25"/>
    <mergeCell ref="D23:F23"/>
    <mergeCell ref="D24:F24"/>
    <mergeCell ref="G23:M23"/>
    <mergeCell ref="G24:M24"/>
    <mergeCell ref="N23:S23"/>
    <mergeCell ref="N24:S24"/>
    <mergeCell ref="T23:X23"/>
    <mergeCell ref="T24:X24"/>
    <mergeCell ref="B19:L19"/>
    <mergeCell ref="M19:X19"/>
    <mergeCell ref="B20:L20"/>
    <mergeCell ref="M20:X20"/>
    <mergeCell ref="B21:X21"/>
    <mergeCell ref="B22:C22"/>
    <mergeCell ref="G22:I22"/>
    <mergeCell ref="K22:M22"/>
    <mergeCell ref="O22:P22"/>
    <mergeCell ref="Q22:S22"/>
    <mergeCell ref="T22:U22"/>
    <mergeCell ref="V22:W22"/>
    <mergeCell ref="C18:D18"/>
    <mergeCell ref="E18:F18"/>
    <mergeCell ref="G18:L18"/>
    <mergeCell ref="M18:Q18"/>
    <mergeCell ref="R18:U18"/>
    <mergeCell ref="V18:X18"/>
    <mergeCell ref="B15:X15"/>
    <mergeCell ref="B16:B17"/>
    <mergeCell ref="C16:D17"/>
    <mergeCell ref="E16:F17"/>
    <mergeCell ref="G16:L17"/>
    <mergeCell ref="M16:X16"/>
    <mergeCell ref="M17:Q17"/>
    <mergeCell ref="R17:U17"/>
    <mergeCell ref="V17:X17"/>
    <mergeCell ref="B14:F14"/>
    <mergeCell ref="G14:J14"/>
    <mergeCell ref="K14:N14"/>
    <mergeCell ref="O14:R14"/>
    <mergeCell ref="S14:U14"/>
    <mergeCell ref="V14:X14"/>
    <mergeCell ref="B12:F13"/>
    <mergeCell ref="G12:J13"/>
    <mergeCell ref="K12:N13"/>
    <mergeCell ref="O12:X12"/>
    <mergeCell ref="O13:R13"/>
    <mergeCell ref="S13:U13"/>
    <mergeCell ref="V13:X13"/>
    <mergeCell ref="B6:X6"/>
    <mergeCell ref="B7:F8"/>
    <mergeCell ref="G7:X8"/>
    <mergeCell ref="B9:X9"/>
    <mergeCell ref="B10:X10"/>
    <mergeCell ref="B11:X11"/>
    <mergeCell ref="B1:T1"/>
    <mergeCell ref="U1:X4"/>
    <mergeCell ref="B2:T4"/>
    <mergeCell ref="C5:D5"/>
    <mergeCell ref="E5:G5"/>
    <mergeCell ref="H5:J5"/>
    <mergeCell ref="K5:N5"/>
    <mergeCell ref="O5:R5"/>
    <mergeCell ref="S5:V5"/>
    <mergeCell ref="W5:X5"/>
    <mergeCell ref="AB3:AR4"/>
    <mergeCell ref="AR5:AR6"/>
    <mergeCell ref="AB11:AC14"/>
    <mergeCell ref="AB15:AC18"/>
    <mergeCell ref="AB19:AC22"/>
    <mergeCell ref="AD7:AH7"/>
    <mergeCell ref="AD8:AH8"/>
    <mergeCell ref="AD9:AH9"/>
    <mergeCell ref="AD10:AH10"/>
    <mergeCell ref="AD11:AH11"/>
    <mergeCell ref="AD12:AH12"/>
    <mergeCell ref="AD13:AH13"/>
    <mergeCell ref="AD14:AH14"/>
    <mergeCell ref="AD15:AH15"/>
    <mergeCell ref="AD16:AH16"/>
    <mergeCell ref="AD17:AH17"/>
    <mergeCell ref="AD18:AH18"/>
    <mergeCell ref="AD19:AH19"/>
    <mergeCell ref="AD20:AH20"/>
    <mergeCell ref="AD21:AH21"/>
    <mergeCell ref="AD22:AH22"/>
    <mergeCell ref="AI7:AK7"/>
    <mergeCell ref="AL7:AO7"/>
    <mergeCell ref="AP7:AQ7"/>
    <mergeCell ref="AB5:AC6"/>
    <mergeCell ref="AD5:AH6"/>
    <mergeCell ref="AI5:AK6"/>
    <mergeCell ref="AL5:AO6"/>
    <mergeCell ref="AP5:AQ6"/>
    <mergeCell ref="AB7:AC10"/>
    <mergeCell ref="AI8:AK8"/>
    <mergeCell ref="AL8:AO8"/>
    <mergeCell ref="AP8:AQ8"/>
    <mergeCell ref="AI9:AK9"/>
    <mergeCell ref="AL9:AO9"/>
    <mergeCell ref="AP9:AQ9"/>
    <mergeCell ref="AI10:AK10"/>
    <mergeCell ref="AL10:AO10"/>
    <mergeCell ref="AP10:AQ10"/>
    <mergeCell ref="AL14:AO14"/>
    <mergeCell ref="AP14:AQ14"/>
    <mergeCell ref="AI15:AK15"/>
    <mergeCell ref="AL15:AO15"/>
    <mergeCell ref="AP15:AQ15"/>
    <mergeCell ref="AI16:AK16"/>
    <mergeCell ref="AL16:AO16"/>
    <mergeCell ref="AP16:AQ16"/>
    <mergeCell ref="AI11:AK11"/>
    <mergeCell ref="AL11:AO11"/>
    <mergeCell ref="AP11:AQ11"/>
    <mergeCell ref="AI12:AK12"/>
    <mergeCell ref="AL12:AO12"/>
    <mergeCell ref="AP12:AQ12"/>
    <mergeCell ref="AI13:AK13"/>
    <mergeCell ref="AL13:AO13"/>
    <mergeCell ref="AP13:AQ13"/>
    <mergeCell ref="AB1:AR1"/>
    <mergeCell ref="AR7:AR10"/>
    <mergeCell ref="AR11:AR14"/>
    <mergeCell ref="AR15:AR18"/>
    <mergeCell ref="AR19:AR22"/>
    <mergeCell ref="AI20:AK20"/>
    <mergeCell ref="AL20:AO20"/>
    <mergeCell ref="AP20:AQ20"/>
    <mergeCell ref="AI21:AK21"/>
    <mergeCell ref="AL21:AO21"/>
    <mergeCell ref="AP21:AQ21"/>
    <mergeCell ref="AI22:AK22"/>
    <mergeCell ref="AL22:AO22"/>
    <mergeCell ref="AP22:AQ22"/>
    <mergeCell ref="AI17:AK17"/>
    <mergeCell ref="AL17:AO17"/>
    <mergeCell ref="AP17:AQ17"/>
    <mergeCell ref="AI18:AK18"/>
    <mergeCell ref="AL18:AO18"/>
    <mergeCell ref="AP18:AQ18"/>
    <mergeCell ref="AI19:AK19"/>
    <mergeCell ref="AL19:AO19"/>
    <mergeCell ref="AP19:AQ19"/>
    <mergeCell ref="AI14:AK1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theme="9"/>
    <pageSetUpPr fitToPage="1"/>
  </sheetPr>
  <dimension ref="B1:AR50"/>
  <sheetViews>
    <sheetView topLeftCell="C1" zoomScale="80" zoomScaleNormal="80" zoomScaleSheetLayoutView="100" workbookViewId="0">
      <selection activeCell="AR31" sqref="AR3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0</v>
      </c>
      <c r="AJ7" s="673"/>
      <c r="AK7" s="673"/>
      <c r="AL7" s="673">
        <v>0</v>
      </c>
      <c r="AM7" s="673"/>
      <c r="AN7" s="673"/>
      <c r="AO7" s="673"/>
      <c r="AP7" s="674">
        <v>0</v>
      </c>
      <c r="AQ7" s="674"/>
      <c r="AR7" s="668">
        <f>SUM(AP10)</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0</v>
      </c>
      <c r="AJ8" s="673"/>
      <c r="AK8" s="673"/>
      <c r="AL8" s="673">
        <v>0</v>
      </c>
      <c r="AM8" s="673"/>
      <c r="AN8" s="673"/>
      <c r="AO8" s="673"/>
      <c r="AP8" s="674">
        <v>0</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0</v>
      </c>
      <c r="AJ9" s="673"/>
      <c r="AK9" s="673"/>
      <c r="AL9" s="673">
        <v>0</v>
      </c>
      <c r="AM9" s="673"/>
      <c r="AN9" s="673"/>
      <c r="AO9" s="673"/>
      <c r="AP9" s="674">
        <v>0</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2</v>
      </c>
      <c r="AJ10" s="673"/>
      <c r="AK10" s="673"/>
      <c r="AL10" s="673">
        <v>2</v>
      </c>
      <c r="AM10" s="673"/>
      <c r="AN10" s="673"/>
      <c r="AO10" s="673"/>
      <c r="AP10" s="674">
        <f t="shared" ref="AP10" si="0">AL10/AI10</f>
        <v>1</v>
      </c>
      <c r="AQ10" s="674"/>
      <c r="AR10" s="668"/>
    </row>
    <row r="11" spans="2:44" ht="38.25" customHeight="1">
      <c r="B11" s="640" t="s">
        <v>148</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2</v>
      </c>
      <c r="AJ11" s="672"/>
      <c r="AK11" s="672"/>
      <c r="AL11" s="672">
        <v>2</v>
      </c>
      <c r="AM11" s="672"/>
      <c r="AN11" s="672"/>
      <c r="AO11" s="672"/>
      <c r="AP11" s="671">
        <f>AL11/AI11</f>
        <v>1</v>
      </c>
      <c r="AQ11" s="671"/>
      <c r="AR11" s="669">
        <f>SUM(AP11:AQ13)/3</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2</v>
      </c>
      <c r="AJ12" s="672"/>
      <c r="AK12" s="672"/>
      <c r="AL12" s="672">
        <v>2</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2</v>
      </c>
      <c r="AJ13" s="672"/>
      <c r="AK13" s="672"/>
      <c r="AL13" s="672">
        <v>2</v>
      </c>
      <c r="AM13" s="672"/>
      <c r="AN13" s="672"/>
      <c r="AO13" s="672"/>
      <c r="AP13" s="671">
        <f t="shared" si="1"/>
        <v>1</v>
      </c>
      <c r="AQ13" s="671"/>
      <c r="AR13" s="669"/>
    </row>
    <row r="14" spans="2:44" ht="29.25" customHeight="1">
      <c r="B14" s="632" t="s">
        <v>304</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0</v>
      </c>
      <c r="AJ14" s="672"/>
      <c r="AK14" s="672"/>
      <c r="AL14" s="672">
        <v>0</v>
      </c>
      <c r="AM14" s="672"/>
      <c r="AN14" s="672"/>
      <c r="AO14" s="672"/>
      <c r="AP14" s="671">
        <v>0</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0</v>
      </c>
      <c r="AJ15" s="673"/>
      <c r="AK15" s="673"/>
      <c r="AL15" s="673">
        <v>0</v>
      </c>
      <c r="AM15" s="673"/>
      <c r="AN15" s="673"/>
      <c r="AO15" s="673"/>
      <c r="AP15" s="674">
        <v>1</v>
      </c>
      <c r="AQ15" s="674"/>
      <c r="AR15" s="668">
        <f>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2</v>
      </c>
      <c r="AJ16" s="673"/>
      <c r="AK16" s="673"/>
      <c r="AL16" s="673">
        <v>2</v>
      </c>
      <c r="AM16" s="673"/>
      <c r="AN16" s="673"/>
      <c r="AO16" s="673"/>
      <c r="AP16" s="674">
        <f t="shared" si="1"/>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0</v>
      </c>
      <c r="AJ17" s="673"/>
      <c r="AK17" s="673"/>
      <c r="AL17" s="673">
        <v>0</v>
      </c>
      <c r="AM17" s="673"/>
      <c r="AN17" s="673"/>
      <c r="AO17" s="673"/>
      <c r="AP17" s="674">
        <v>1</v>
      </c>
      <c r="AQ17" s="674"/>
      <c r="AR17" s="668"/>
    </row>
    <row r="18" spans="2:44" ht="28.5" customHeight="1">
      <c r="B18" s="43" t="s">
        <v>203</v>
      </c>
      <c r="C18" s="607" t="s">
        <v>114</v>
      </c>
      <c r="D18" s="608"/>
      <c r="E18" s="644">
        <v>0</v>
      </c>
      <c r="F18" s="644"/>
      <c r="G18" s="632" t="s">
        <v>202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0</v>
      </c>
      <c r="AJ18" s="673"/>
      <c r="AK18" s="673"/>
      <c r="AL18" s="673">
        <v>0</v>
      </c>
      <c r="AM18" s="673"/>
      <c r="AN18" s="673"/>
      <c r="AO18" s="673"/>
      <c r="AP18" s="674">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0</v>
      </c>
      <c r="AJ19" s="672"/>
      <c r="AK19" s="672"/>
      <c r="AL19" s="672">
        <v>0</v>
      </c>
      <c r="AM19" s="672"/>
      <c r="AN19" s="672"/>
      <c r="AO19" s="672"/>
      <c r="AP19" s="671" t="e">
        <f t="shared" si="1"/>
        <v>#DIV/0!</v>
      </c>
      <c r="AQ19" s="671"/>
      <c r="AR19" s="669" t="e">
        <f t="shared" ref="AR19" si="2">SUM(AP19:AQ22)/4</f>
        <v>#DIV/0!</v>
      </c>
    </row>
    <row r="20" spans="2:44" ht="45.4" customHeight="1">
      <c r="B20" s="607" t="s">
        <v>339</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3</v>
      </c>
      <c r="AJ20" s="672"/>
      <c r="AK20" s="672"/>
      <c r="AL20" s="672">
        <v>3</v>
      </c>
      <c r="AM20" s="672"/>
      <c r="AN20" s="672"/>
      <c r="AO20" s="672"/>
      <c r="AP20" s="671">
        <f t="shared" si="1"/>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83" t="s">
        <v>13</v>
      </c>
      <c r="E22" s="83" t="s">
        <v>14</v>
      </c>
      <c r="F22" s="83" t="s">
        <v>15</v>
      </c>
      <c r="G22" s="641" t="s">
        <v>16</v>
      </c>
      <c r="H22" s="641"/>
      <c r="I22" s="641"/>
      <c r="J22" s="83" t="s">
        <v>17</v>
      </c>
      <c r="K22" s="641" t="s">
        <v>18</v>
      </c>
      <c r="L22" s="641"/>
      <c r="M22" s="641"/>
      <c r="N22" s="83" t="s">
        <v>19</v>
      </c>
      <c r="O22" s="641" t="s">
        <v>20</v>
      </c>
      <c r="P22" s="641"/>
      <c r="Q22" s="641" t="s">
        <v>21</v>
      </c>
      <c r="R22" s="641"/>
      <c r="S22" s="641"/>
      <c r="T22" s="641" t="s">
        <v>22</v>
      </c>
      <c r="U22" s="641"/>
      <c r="V22" s="641" t="s">
        <v>23</v>
      </c>
      <c r="W22" s="641"/>
      <c r="X22" s="83"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0</v>
      </c>
      <c r="E23" s="683"/>
      <c r="F23" s="684"/>
      <c r="G23" s="685">
        <f>AL16</f>
        <v>2</v>
      </c>
      <c r="H23" s="643"/>
      <c r="I23" s="643"/>
      <c r="J23" s="643"/>
      <c r="K23" s="643"/>
      <c r="L23" s="643"/>
      <c r="M23" s="608"/>
      <c r="N23" s="682">
        <f>AL17</f>
        <v>0</v>
      </c>
      <c r="O23" s="683"/>
      <c r="P23" s="683"/>
      <c r="Q23" s="683"/>
      <c r="R23" s="683"/>
      <c r="S23" s="684"/>
      <c r="T23" s="685">
        <f>AL18</f>
        <v>0</v>
      </c>
      <c r="U23" s="643"/>
      <c r="V23" s="643"/>
      <c r="W23" s="643"/>
      <c r="X23" s="608"/>
      <c r="Z23" s="52"/>
      <c r="AA23" s="52"/>
    </row>
    <row r="24" spans="2:44" ht="18.95" customHeight="1">
      <c r="B24" s="633" t="s">
        <v>26</v>
      </c>
      <c r="C24" s="633"/>
      <c r="D24" s="682">
        <f>AI15</f>
        <v>0</v>
      </c>
      <c r="E24" s="683"/>
      <c r="F24" s="684"/>
      <c r="G24" s="685">
        <f>AI16</f>
        <v>2</v>
      </c>
      <c r="H24" s="643"/>
      <c r="I24" s="643"/>
      <c r="J24" s="643"/>
      <c r="K24" s="643"/>
      <c r="L24" s="643"/>
      <c r="M24" s="608"/>
      <c r="N24" s="682">
        <f>AI17</f>
        <v>0</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3" t="s">
        <v>27</v>
      </c>
      <c r="C26" s="83" t="s">
        <v>28</v>
      </c>
      <c r="D26" s="83"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84" t="s">
        <v>31</v>
      </c>
      <c r="C27" s="686">
        <f>IF(ISERROR(D23/D24),0,$D$23/$D$24)</f>
        <v>0</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84" t="s">
        <v>32</v>
      </c>
      <c r="C28" s="687"/>
      <c r="D28" s="687"/>
      <c r="E28" s="92">
        <f t="shared" ref="E28:E37"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84" t="s">
        <v>33</v>
      </c>
      <c r="C29" s="688"/>
      <c r="D29" s="688"/>
      <c r="E29" s="92">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84" t="s">
        <v>34</v>
      </c>
      <c r="C30" s="686">
        <f>IF(ISERROR(G23/G24),0,G23/G24)</f>
        <v>1</v>
      </c>
      <c r="D30" s="686">
        <f t="shared" ref="D30:D36" si="4">$E$18</f>
        <v>0</v>
      </c>
      <c r="E30" s="92">
        <f t="shared" si="3"/>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84" t="s">
        <v>35</v>
      </c>
      <c r="C31" s="687"/>
      <c r="D31" s="687"/>
      <c r="E31" s="92">
        <f t="shared" si="3"/>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84" t="s">
        <v>36</v>
      </c>
      <c r="C32" s="688"/>
      <c r="D32" s="688"/>
      <c r="E32" s="92">
        <f t="shared" si="3"/>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84" t="s">
        <v>37</v>
      </c>
      <c r="C33" s="686">
        <f>IF(ISERROR(N23/N24),0,T23/T24)</f>
        <v>0</v>
      </c>
      <c r="D33" s="686">
        <f t="shared" si="4"/>
        <v>0</v>
      </c>
      <c r="E33" s="92">
        <f t="shared" si="3"/>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84" t="s">
        <v>38</v>
      </c>
      <c r="C34" s="687"/>
      <c r="D34" s="687"/>
      <c r="E34" s="92">
        <f t="shared" si="3"/>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84" t="s">
        <v>39</v>
      </c>
      <c r="C35" s="688"/>
      <c r="D35" s="688"/>
      <c r="E35" s="92">
        <f t="shared" si="3"/>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84" t="s">
        <v>40</v>
      </c>
      <c r="C36" s="686">
        <f>IF(ISERROR(T23/T24),0,T23/T24)</f>
        <v>0</v>
      </c>
      <c r="D36" s="686">
        <f t="shared" si="4"/>
        <v>0</v>
      </c>
      <c r="E36" s="92">
        <f t="shared" si="3"/>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84" t="s">
        <v>41</v>
      </c>
      <c r="C37" s="687"/>
      <c r="D37" s="687"/>
      <c r="E37" s="92">
        <f t="shared" si="3"/>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84"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160.5" customHeight="1">
      <c r="B41" s="621" t="s">
        <v>466</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75"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tabColor theme="9"/>
    <pageSetUpPr fitToPage="1"/>
  </sheetPr>
  <dimension ref="B1:AR50"/>
  <sheetViews>
    <sheetView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1" width="4.625" style="46"/>
    <col min="32" max="32" width="5.25" style="46" bestFit="1" customWidth="1"/>
    <col min="33" max="43" width="4.625" style="46"/>
    <col min="44" max="44" width="9"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t="s">
        <v>204</v>
      </c>
      <c r="AJ7" s="673"/>
      <c r="AK7" s="673"/>
      <c r="AL7" s="673" t="s">
        <v>204</v>
      </c>
      <c r="AM7" s="673"/>
      <c r="AN7" s="673"/>
      <c r="AO7" s="673"/>
      <c r="AP7" s="674" t="s">
        <v>204</v>
      </c>
      <c r="AQ7" s="674"/>
      <c r="AR7" s="66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c r="AJ8" s="673"/>
      <c r="AK8" s="673"/>
      <c r="AL8" s="673"/>
      <c r="AM8" s="673"/>
      <c r="AN8" s="673"/>
      <c r="AO8" s="673"/>
      <c r="AP8" s="674"/>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c r="AJ9" s="673"/>
      <c r="AK9" s="673"/>
      <c r="AL9" s="673"/>
      <c r="AM9" s="673"/>
      <c r="AN9" s="673"/>
      <c r="AO9" s="673"/>
      <c r="AP9" s="674"/>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c r="AJ10" s="673"/>
      <c r="AK10" s="673"/>
      <c r="AL10" s="673"/>
      <c r="AM10" s="673"/>
      <c r="AN10" s="673"/>
      <c r="AO10" s="673"/>
      <c r="AP10" s="674"/>
      <c r="AQ10" s="674"/>
      <c r="AR10" s="668"/>
    </row>
    <row r="11" spans="2:44" ht="38.25" customHeight="1">
      <c r="B11" s="640" t="s">
        <v>151</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296</v>
      </c>
      <c r="AE11" s="681"/>
      <c r="AF11" s="681"/>
      <c r="AG11" s="681"/>
      <c r="AH11" s="681"/>
      <c r="AI11" s="672">
        <v>34</v>
      </c>
      <c r="AJ11" s="672"/>
      <c r="AK11" s="672"/>
      <c r="AL11" s="672">
        <v>27</v>
      </c>
      <c r="AM11" s="672"/>
      <c r="AN11" s="672"/>
      <c r="AO11" s="672"/>
      <c r="AP11" s="671">
        <f>AL11/AI11</f>
        <v>0.79411764705882348</v>
      </c>
      <c r="AQ11" s="671"/>
      <c r="AR11" s="669">
        <f>SUM(AP11:AQ13)/3</f>
        <v>0.85026655823619768</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297</v>
      </c>
      <c r="AE12" s="681"/>
      <c r="AF12" s="681"/>
      <c r="AG12" s="681"/>
      <c r="AH12" s="681"/>
      <c r="AI12" s="672">
        <v>35</v>
      </c>
      <c r="AJ12" s="672"/>
      <c r="AK12" s="672"/>
      <c r="AL12" s="672">
        <v>31</v>
      </c>
      <c r="AM12" s="672"/>
      <c r="AN12" s="672"/>
      <c r="AO12" s="672"/>
      <c r="AP12" s="671">
        <f t="shared" ref="AP12" si="0">AL12/AI12</f>
        <v>0.88571428571428568</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134</v>
      </c>
      <c r="AE13" s="681"/>
      <c r="AF13" s="681"/>
      <c r="AG13" s="681"/>
      <c r="AH13" s="681"/>
      <c r="AI13" s="672">
        <v>31</v>
      </c>
      <c r="AJ13" s="672"/>
      <c r="AK13" s="672"/>
      <c r="AL13" s="672">
        <v>27</v>
      </c>
      <c r="AM13" s="672"/>
      <c r="AN13" s="672"/>
      <c r="AO13" s="672"/>
      <c r="AP13" s="671">
        <f t="shared" ref="AP13" si="1">AL13/AI13</f>
        <v>0.87096774193548387</v>
      </c>
      <c r="AQ13" s="671"/>
      <c r="AR13" s="669"/>
    </row>
    <row r="14" spans="2:44" ht="29.25" customHeight="1">
      <c r="B14" s="632" t="s">
        <v>206</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7">
        <v>2021</v>
      </c>
      <c r="AC14" s="677"/>
      <c r="AD14" s="680" t="s">
        <v>298</v>
      </c>
      <c r="AE14" s="680"/>
      <c r="AF14" s="680"/>
      <c r="AG14" s="680"/>
      <c r="AH14" s="680"/>
      <c r="AI14" s="673">
        <v>24</v>
      </c>
      <c r="AJ14" s="673"/>
      <c r="AK14" s="673"/>
      <c r="AL14" s="673">
        <v>21</v>
      </c>
      <c r="AM14" s="673"/>
      <c r="AN14" s="673"/>
      <c r="AO14" s="673"/>
      <c r="AP14" s="674">
        <f t="shared" ref="AP14:AP19" si="2">AL14/AI14</f>
        <v>0.875</v>
      </c>
      <c r="AQ14" s="674"/>
      <c r="AR14" s="668">
        <f t="shared" ref="AR14" si="3">SUM(AP14:AQ16)/3</f>
        <v>0.85539215686274517</v>
      </c>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c r="AC15" s="677"/>
      <c r="AD15" s="680" t="s">
        <v>299</v>
      </c>
      <c r="AE15" s="680"/>
      <c r="AF15" s="680"/>
      <c r="AG15" s="680"/>
      <c r="AH15" s="680"/>
      <c r="AI15" s="673">
        <v>16</v>
      </c>
      <c r="AJ15" s="673"/>
      <c r="AK15" s="673"/>
      <c r="AL15" s="673">
        <v>12</v>
      </c>
      <c r="AM15" s="673"/>
      <c r="AN15" s="673"/>
      <c r="AO15" s="673"/>
      <c r="AP15" s="674">
        <f t="shared" si="2"/>
        <v>0.75</v>
      </c>
      <c r="AQ15" s="674"/>
      <c r="AR15" s="668"/>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138</v>
      </c>
      <c r="AE16" s="680"/>
      <c r="AF16" s="680"/>
      <c r="AG16" s="680"/>
      <c r="AH16" s="680"/>
      <c r="AI16" s="673">
        <v>17</v>
      </c>
      <c r="AJ16" s="673"/>
      <c r="AK16" s="673"/>
      <c r="AL16" s="673">
        <v>16</v>
      </c>
      <c r="AM16" s="673"/>
      <c r="AN16" s="673"/>
      <c r="AO16" s="673"/>
      <c r="AP16" s="674">
        <f t="shared" si="2"/>
        <v>0.94117647058823528</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9">
        <v>2022</v>
      </c>
      <c r="AC17" s="679"/>
      <c r="AD17" s="681" t="s">
        <v>300</v>
      </c>
      <c r="AE17" s="681"/>
      <c r="AF17" s="681"/>
      <c r="AG17" s="681"/>
      <c r="AH17" s="681"/>
      <c r="AI17" s="672">
        <v>23</v>
      </c>
      <c r="AJ17" s="672"/>
      <c r="AK17" s="672"/>
      <c r="AL17" s="672">
        <v>13</v>
      </c>
      <c r="AM17" s="672"/>
      <c r="AN17" s="672"/>
      <c r="AO17" s="672"/>
      <c r="AP17" s="671">
        <f t="shared" si="2"/>
        <v>0.56521739130434778</v>
      </c>
      <c r="AQ17" s="671"/>
      <c r="AR17" s="669" t="e">
        <f t="shared" ref="AR17" si="4">SUM(AP17:AQ19)/3</f>
        <v>#DIV/0!</v>
      </c>
    </row>
    <row r="18" spans="2:44" ht="28.5" customHeight="1">
      <c r="B18" s="43" t="s">
        <v>195</v>
      </c>
      <c r="C18" s="607" t="s">
        <v>205</v>
      </c>
      <c r="D18" s="608"/>
      <c r="E18" s="644">
        <v>1</v>
      </c>
      <c r="F18" s="644"/>
      <c r="G18" s="632" t="s">
        <v>196</v>
      </c>
      <c r="H18" s="632"/>
      <c r="I18" s="632"/>
      <c r="J18" s="632"/>
      <c r="K18" s="632"/>
      <c r="L18" s="632"/>
      <c r="M18" s="595" t="s">
        <v>123</v>
      </c>
      <c r="N18" s="595"/>
      <c r="O18" s="595"/>
      <c r="P18" s="595"/>
      <c r="Q18" s="595"/>
      <c r="R18" s="596" t="s">
        <v>124</v>
      </c>
      <c r="S18" s="596"/>
      <c r="T18" s="596"/>
      <c r="U18" s="596"/>
      <c r="V18" s="597" t="s">
        <v>125</v>
      </c>
      <c r="W18" s="597"/>
      <c r="X18" s="597"/>
      <c r="AB18" s="679"/>
      <c r="AC18" s="679"/>
      <c r="AD18" s="681" t="s">
        <v>301</v>
      </c>
      <c r="AE18" s="681"/>
      <c r="AF18" s="681"/>
      <c r="AG18" s="681"/>
      <c r="AH18" s="681"/>
      <c r="AI18" s="672"/>
      <c r="AJ18" s="672"/>
      <c r="AK18" s="672"/>
      <c r="AL18" s="672"/>
      <c r="AM18" s="672"/>
      <c r="AN18" s="672"/>
      <c r="AO18" s="672"/>
      <c r="AP18" s="671" t="e">
        <f t="shared" si="2"/>
        <v>#DIV/0!</v>
      </c>
      <c r="AQ18" s="671"/>
      <c r="AR18" s="669"/>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c r="AC19" s="679"/>
      <c r="AD19" s="681" t="s">
        <v>142</v>
      </c>
      <c r="AE19" s="681"/>
      <c r="AF19" s="681"/>
      <c r="AG19" s="681"/>
      <c r="AH19" s="681"/>
      <c r="AI19" s="672"/>
      <c r="AJ19" s="672"/>
      <c r="AK19" s="672"/>
      <c r="AL19" s="672"/>
      <c r="AM19" s="672"/>
      <c r="AN19" s="672"/>
      <c r="AO19" s="672"/>
      <c r="AP19" s="671" t="e">
        <f t="shared" si="2"/>
        <v>#DIV/0!</v>
      </c>
      <c r="AQ19" s="671"/>
      <c r="AR19" s="669"/>
    </row>
    <row r="20" spans="2:44" ht="45.4" customHeight="1">
      <c r="B20" s="607" t="s">
        <v>198</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23"/>
      <c r="AC20" s="23"/>
      <c r="AD20" s="23"/>
      <c r="AE20" s="23"/>
      <c r="AF20" s="23"/>
      <c r="AG20" s="23"/>
      <c r="AH20" s="23"/>
      <c r="AI20" s="23"/>
      <c r="AJ20" s="23"/>
      <c r="AK20" s="23"/>
      <c r="AL20" s="23"/>
      <c r="AM20" s="23"/>
      <c r="AN20" s="23"/>
      <c r="AO20" s="23"/>
      <c r="AP20" s="23"/>
      <c r="AQ20" s="23"/>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23"/>
      <c r="AC21" s="23"/>
      <c r="AD21" s="23"/>
      <c r="AE21" s="23"/>
      <c r="AF21" s="23"/>
      <c r="AG21" s="23"/>
      <c r="AH21" s="23"/>
      <c r="AI21" s="23"/>
      <c r="AJ21" s="23"/>
      <c r="AK21" s="23"/>
      <c r="AL21" s="23"/>
      <c r="AM21" s="23"/>
      <c r="AN21" s="23"/>
      <c r="AO21" s="23"/>
      <c r="AP21" s="23"/>
      <c r="AQ21" s="23"/>
    </row>
    <row r="22" spans="2:44" ht="18.95" customHeight="1">
      <c r="B22" s="689" t="s">
        <v>12</v>
      </c>
      <c r="C22" s="690"/>
      <c r="D22" s="83" t="s">
        <v>13</v>
      </c>
      <c r="E22" s="83" t="s">
        <v>14</v>
      </c>
      <c r="F22" s="83" t="s">
        <v>15</v>
      </c>
      <c r="G22" s="692" t="s">
        <v>16</v>
      </c>
      <c r="H22" s="694"/>
      <c r="I22" s="693"/>
      <c r="J22" s="83" t="s">
        <v>17</v>
      </c>
      <c r="K22" s="692" t="s">
        <v>18</v>
      </c>
      <c r="L22" s="694"/>
      <c r="M22" s="693"/>
      <c r="N22" s="83" t="s">
        <v>19</v>
      </c>
      <c r="O22" s="692" t="s">
        <v>302</v>
      </c>
      <c r="P22" s="693"/>
      <c r="Q22" s="692" t="s">
        <v>21</v>
      </c>
      <c r="R22" s="694"/>
      <c r="S22" s="693"/>
      <c r="T22" s="692" t="s">
        <v>22</v>
      </c>
      <c r="U22" s="693"/>
      <c r="V22" s="692" t="s">
        <v>23</v>
      </c>
      <c r="W22" s="693"/>
      <c r="X22" s="83" t="s">
        <v>24</v>
      </c>
      <c r="AB22" s="23"/>
      <c r="AC22" s="23"/>
      <c r="AD22" s="23"/>
      <c r="AE22" s="23"/>
      <c r="AF22" s="23"/>
      <c r="AG22" s="23"/>
      <c r="AH22" s="23"/>
      <c r="AI22" s="23"/>
      <c r="AJ22" s="23"/>
      <c r="AK22" s="23"/>
      <c r="AL22" s="23"/>
      <c r="AM22" s="23"/>
      <c r="AN22" s="23"/>
      <c r="AO22" s="23"/>
      <c r="AP22" s="23"/>
      <c r="AQ22" s="23"/>
    </row>
    <row r="23" spans="2:44" ht="18.95" customHeight="1">
      <c r="B23" s="689" t="s">
        <v>25</v>
      </c>
      <c r="C23" s="690"/>
      <c r="D23" s="682">
        <f>AL14</f>
        <v>21</v>
      </c>
      <c r="E23" s="683"/>
      <c r="F23" s="683"/>
      <c r="G23" s="683"/>
      <c r="H23" s="683"/>
      <c r="I23" s="684"/>
      <c r="J23" s="682">
        <f>AL15</f>
        <v>12</v>
      </c>
      <c r="K23" s="683"/>
      <c r="L23" s="683"/>
      <c r="M23" s="683"/>
      <c r="N23" s="683"/>
      <c r="O23" s="683"/>
      <c r="P23" s="684"/>
      <c r="Q23" s="685">
        <f>AL16</f>
        <v>16</v>
      </c>
      <c r="R23" s="643"/>
      <c r="S23" s="643"/>
      <c r="T23" s="643"/>
      <c r="U23" s="643"/>
      <c r="V23" s="643"/>
      <c r="W23" s="643"/>
      <c r="X23" s="608"/>
      <c r="Z23" s="52"/>
      <c r="AA23" s="52"/>
    </row>
    <row r="24" spans="2:44" ht="18.95" customHeight="1">
      <c r="B24" s="689" t="s">
        <v>26</v>
      </c>
      <c r="C24" s="690"/>
      <c r="D24" s="691">
        <v>24</v>
      </c>
      <c r="E24" s="683"/>
      <c r="F24" s="683"/>
      <c r="G24" s="683"/>
      <c r="H24" s="683"/>
      <c r="I24" s="684"/>
      <c r="J24" s="691">
        <v>16</v>
      </c>
      <c r="K24" s="683"/>
      <c r="L24" s="683"/>
      <c r="M24" s="683"/>
      <c r="N24" s="683"/>
      <c r="O24" s="683"/>
      <c r="P24" s="684"/>
      <c r="Q24" s="607">
        <v>17</v>
      </c>
      <c r="R24" s="643"/>
      <c r="S24" s="643"/>
      <c r="T24" s="643"/>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3" t="s">
        <v>27</v>
      </c>
      <c r="C26" s="83" t="s">
        <v>28</v>
      </c>
      <c r="D26" s="83" t="s">
        <v>29</v>
      </c>
      <c r="E26" s="91" t="s">
        <v>30</v>
      </c>
      <c r="F26" s="27"/>
      <c r="G26" s="27"/>
      <c r="H26" s="601"/>
      <c r="I26" s="601"/>
      <c r="J26" s="601"/>
      <c r="K26" s="601"/>
      <c r="L26" s="601"/>
      <c r="M26" s="601"/>
      <c r="N26" s="601"/>
      <c r="O26" s="601"/>
      <c r="P26" s="601"/>
      <c r="Q26" s="601"/>
      <c r="R26" s="601"/>
      <c r="S26" s="601"/>
      <c r="T26" s="601"/>
      <c r="U26" s="601"/>
      <c r="V26" s="601"/>
      <c r="W26" s="601"/>
      <c r="X26" s="623"/>
    </row>
    <row r="27" spans="2:44" ht="17.649999999999999" customHeight="1">
      <c r="B27" s="84" t="s">
        <v>31</v>
      </c>
      <c r="C27" s="686">
        <f>IF(ISERROR($D$23/$D$24),0,$D$23/$D$24)</f>
        <v>0.875</v>
      </c>
      <c r="D27" s="686">
        <f>$E$18</f>
        <v>1</v>
      </c>
      <c r="E27" s="92">
        <f>$O$14</f>
        <v>1</v>
      </c>
      <c r="F27" s="28"/>
      <c r="G27" s="28"/>
      <c r="H27" s="590"/>
      <c r="I27" s="590"/>
      <c r="J27" s="590"/>
      <c r="K27" s="590"/>
      <c r="L27" s="5"/>
      <c r="M27" s="5"/>
      <c r="N27" s="590"/>
      <c r="O27" s="590"/>
      <c r="P27" s="590"/>
      <c r="Q27" s="590"/>
      <c r="R27" s="590"/>
      <c r="S27" s="590"/>
      <c r="T27" s="590"/>
      <c r="U27" s="590"/>
      <c r="V27" s="590"/>
      <c r="W27" s="590"/>
      <c r="X27" s="610"/>
    </row>
    <row r="28" spans="2:44" ht="17.649999999999999" customHeight="1">
      <c r="B28" s="84" t="s">
        <v>32</v>
      </c>
      <c r="C28" s="687">
        <f>IF(ISERROR($K$23/$K$24),0,$K$23/$K$24)</f>
        <v>0</v>
      </c>
      <c r="D28" s="687"/>
      <c r="E28" s="92">
        <f t="shared" ref="E28:E30" si="5">$O$14</f>
        <v>1</v>
      </c>
      <c r="F28" s="28"/>
      <c r="G28" s="28"/>
      <c r="H28" s="590"/>
      <c r="I28" s="590"/>
      <c r="J28" s="590"/>
      <c r="K28" s="590"/>
      <c r="L28" s="6"/>
      <c r="M28" s="5"/>
      <c r="N28" s="590"/>
      <c r="O28" s="590"/>
      <c r="P28" s="590"/>
      <c r="Q28" s="590"/>
      <c r="R28" s="590"/>
      <c r="S28" s="590"/>
      <c r="T28" s="590"/>
      <c r="U28" s="590"/>
      <c r="V28" s="590"/>
      <c r="W28" s="590"/>
      <c r="X28" s="610"/>
    </row>
    <row r="29" spans="2:44" ht="17.649999999999999" customHeight="1">
      <c r="B29" s="84" t="s">
        <v>33</v>
      </c>
      <c r="C29" s="687">
        <f>IF(ISERROR($N$23/$N$24),0,$N$23/$N$24)</f>
        <v>0</v>
      </c>
      <c r="D29" s="687"/>
      <c r="E29" s="92">
        <f t="shared" si="5"/>
        <v>1</v>
      </c>
      <c r="F29" s="28"/>
      <c r="G29" s="28"/>
      <c r="H29" s="590"/>
      <c r="I29" s="590"/>
      <c r="J29" s="590"/>
      <c r="K29" s="590"/>
      <c r="L29" s="6"/>
      <c r="M29" s="5"/>
      <c r="N29" s="590"/>
      <c r="O29" s="590"/>
      <c r="P29" s="590"/>
      <c r="Q29" s="590"/>
      <c r="R29" s="590"/>
      <c r="S29" s="590"/>
      <c r="T29" s="590"/>
      <c r="U29" s="590"/>
      <c r="V29" s="590"/>
      <c r="W29" s="590"/>
      <c r="X29" s="610"/>
    </row>
    <row r="30" spans="2:44" ht="17.649999999999999" customHeight="1">
      <c r="B30" s="84" t="s">
        <v>34</v>
      </c>
      <c r="C30" s="688">
        <f>IF(ISERROR($O$23/$O$24),0,$O$23/$O$24)</f>
        <v>0</v>
      </c>
      <c r="D30" s="688"/>
      <c r="E30" s="92">
        <f t="shared" si="5"/>
        <v>1</v>
      </c>
      <c r="F30" s="28"/>
      <c r="G30" s="28"/>
      <c r="H30" s="590"/>
      <c r="I30" s="590"/>
      <c r="J30" s="590"/>
      <c r="K30" s="590"/>
      <c r="L30" s="6"/>
      <c r="M30" s="5"/>
      <c r="N30" s="590"/>
      <c r="O30" s="590"/>
      <c r="P30" s="590"/>
      <c r="Q30" s="590"/>
      <c r="R30" s="590"/>
      <c r="S30" s="590"/>
      <c r="T30" s="590"/>
      <c r="U30" s="590"/>
      <c r="V30" s="590"/>
      <c r="W30" s="590"/>
      <c r="X30" s="610"/>
    </row>
    <row r="31" spans="2:44" ht="17.649999999999999" customHeight="1">
      <c r="B31" s="84" t="s">
        <v>35</v>
      </c>
      <c r="C31" s="686">
        <f>IF(ISERROR($J$23/$J$24),0,$J$23/$J$24)</f>
        <v>0.75</v>
      </c>
      <c r="D31" s="686">
        <f t="shared" ref="D31:D37" si="6">$E$18</f>
        <v>1</v>
      </c>
      <c r="E31" s="92">
        <f t="shared" ref="E31:E37" si="7">$O$14</f>
        <v>1</v>
      </c>
      <c r="F31" s="28"/>
      <c r="G31" s="28"/>
      <c r="H31" s="590"/>
      <c r="I31" s="590"/>
      <c r="J31" s="590"/>
      <c r="K31" s="590"/>
      <c r="L31" s="6"/>
      <c r="M31" s="5"/>
      <c r="N31" s="590"/>
      <c r="O31" s="590"/>
      <c r="P31" s="590"/>
      <c r="Q31" s="590"/>
      <c r="R31" s="590"/>
      <c r="S31" s="590"/>
      <c r="T31" s="590"/>
      <c r="U31" s="590"/>
      <c r="V31" s="590"/>
      <c r="W31" s="590"/>
      <c r="X31" s="610"/>
    </row>
    <row r="32" spans="2:44" ht="17.649999999999999" customHeight="1">
      <c r="B32" s="84" t="s">
        <v>36</v>
      </c>
      <c r="C32" s="687">
        <f>IF(ISERROR($K$23/$K$24),0,$K$23/$K$24)</f>
        <v>0</v>
      </c>
      <c r="D32" s="687">
        <f t="shared" si="6"/>
        <v>1</v>
      </c>
      <c r="E32" s="92">
        <f t="shared" si="7"/>
        <v>1</v>
      </c>
      <c r="F32" s="28"/>
      <c r="G32" s="28"/>
      <c r="H32" s="590"/>
      <c r="I32" s="590"/>
      <c r="J32" s="590"/>
      <c r="K32" s="590"/>
      <c r="L32" s="6"/>
      <c r="M32" s="5"/>
      <c r="N32" s="590"/>
      <c r="O32" s="590"/>
      <c r="P32" s="590"/>
      <c r="Q32" s="590"/>
      <c r="R32" s="590"/>
      <c r="S32" s="590"/>
      <c r="T32" s="590"/>
      <c r="U32" s="590"/>
      <c r="V32" s="590"/>
      <c r="W32" s="590"/>
      <c r="X32" s="610"/>
    </row>
    <row r="33" spans="2:27" ht="17.649999999999999" customHeight="1">
      <c r="B33" s="84" t="s">
        <v>37</v>
      </c>
      <c r="C33" s="687">
        <f>IF(ISERROR($N$23/$N$24),0,$N$23/$N$24)</f>
        <v>0</v>
      </c>
      <c r="D33" s="687">
        <f t="shared" si="6"/>
        <v>1</v>
      </c>
      <c r="E33" s="92">
        <f t="shared" si="7"/>
        <v>1</v>
      </c>
      <c r="F33" s="28"/>
      <c r="G33" s="28"/>
      <c r="H33" s="590"/>
      <c r="I33" s="590"/>
      <c r="J33" s="590"/>
      <c r="K33" s="590"/>
      <c r="L33" s="6"/>
      <c r="M33" s="5"/>
      <c r="N33" s="590"/>
      <c r="O33" s="590"/>
      <c r="P33" s="590"/>
      <c r="Q33" s="590"/>
      <c r="R33" s="590"/>
      <c r="S33" s="590"/>
      <c r="T33" s="590"/>
      <c r="U33" s="590"/>
      <c r="V33" s="590"/>
      <c r="W33" s="590"/>
      <c r="X33" s="610"/>
    </row>
    <row r="34" spans="2:27" ht="17.649999999999999" customHeight="1">
      <c r="B34" s="84" t="s">
        <v>38</v>
      </c>
      <c r="C34" s="688">
        <f>IF(ISERROR($O$23/$O$24),0,$O$23/$O$24)</f>
        <v>0</v>
      </c>
      <c r="D34" s="688">
        <f t="shared" si="6"/>
        <v>1</v>
      </c>
      <c r="E34" s="92">
        <f t="shared" si="7"/>
        <v>1</v>
      </c>
      <c r="F34" s="28"/>
      <c r="G34" s="28"/>
      <c r="H34" s="590"/>
      <c r="I34" s="590"/>
      <c r="J34" s="590"/>
      <c r="K34" s="590"/>
      <c r="L34" s="6"/>
      <c r="M34" s="5"/>
      <c r="N34" s="590"/>
      <c r="O34" s="590"/>
      <c r="P34" s="590"/>
      <c r="Q34" s="590"/>
      <c r="R34" s="590"/>
      <c r="S34" s="590"/>
      <c r="T34" s="590"/>
      <c r="U34" s="590"/>
      <c r="V34" s="590"/>
      <c r="W34" s="590"/>
      <c r="X34" s="610"/>
    </row>
    <row r="35" spans="2:27" ht="17.649999999999999" customHeight="1">
      <c r="B35" s="84" t="s">
        <v>39</v>
      </c>
      <c r="C35" s="686">
        <f>IF(ISERROR($Q$23/$Q$24),0,$Q$23/$Q$24)</f>
        <v>0.94117647058823528</v>
      </c>
      <c r="D35" s="686">
        <f t="shared" si="6"/>
        <v>1</v>
      </c>
      <c r="E35" s="92">
        <f t="shared" si="7"/>
        <v>1</v>
      </c>
      <c r="F35" s="28"/>
      <c r="G35" s="28"/>
      <c r="H35" s="590"/>
      <c r="I35" s="590"/>
      <c r="J35" s="590"/>
      <c r="K35" s="590"/>
      <c r="L35" s="6"/>
      <c r="M35" s="5"/>
      <c r="N35" s="590"/>
      <c r="O35" s="590"/>
      <c r="P35" s="590"/>
      <c r="Q35" s="590"/>
      <c r="R35" s="590"/>
      <c r="S35" s="590"/>
      <c r="T35" s="590"/>
      <c r="U35" s="590"/>
      <c r="V35" s="590"/>
      <c r="W35" s="590"/>
      <c r="X35" s="610"/>
    </row>
    <row r="36" spans="2:27" ht="17.649999999999999" customHeight="1">
      <c r="B36" s="84" t="s">
        <v>40</v>
      </c>
      <c r="C36" s="687">
        <f>IF(ISERROR($T$23/$T$24),0,$T$23/$T$24)</f>
        <v>0</v>
      </c>
      <c r="D36" s="687">
        <f t="shared" si="6"/>
        <v>1</v>
      </c>
      <c r="E36" s="92">
        <f t="shared" si="7"/>
        <v>1</v>
      </c>
      <c r="F36" s="28"/>
      <c r="G36" s="28"/>
      <c r="H36" s="590"/>
      <c r="I36" s="590"/>
      <c r="J36" s="590"/>
      <c r="K36" s="590"/>
      <c r="L36" s="6"/>
      <c r="M36" s="5"/>
      <c r="N36" s="590"/>
      <c r="O36" s="590"/>
      <c r="P36" s="590"/>
      <c r="Q36" s="590"/>
      <c r="R36" s="590"/>
      <c r="S36" s="590"/>
      <c r="T36" s="590"/>
      <c r="U36" s="590"/>
      <c r="V36" s="590"/>
      <c r="W36" s="590"/>
      <c r="X36" s="610"/>
    </row>
    <row r="37" spans="2:27" ht="17.649999999999999" customHeight="1">
      <c r="B37" s="84" t="s">
        <v>41</v>
      </c>
      <c r="C37" s="687">
        <f>IF(ISERROR($V$23/$V$24),0,$V$23/$V$24)</f>
        <v>0</v>
      </c>
      <c r="D37" s="687">
        <f t="shared" si="6"/>
        <v>1</v>
      </c>
      <c r="E37" s="92">
        <f t="shared" si="7"/>
        <v>1</v>
      </c>
      <c r="F37" s="28"/>
      <c r="G37" s="28"/>
      <c r="H37" s="590"/>
      <c r="I37" s="590"/>
      <c r="J37" s="590"/>
      <c r="K37" s="590"/>
      <c r="L37" s="6"/>
      <c r="M37" s="5"/>
      <c r="N37" s="590"/>
      <c r="O37" s="590"/>
      <c r="P37" s="590"/>
      <c r="Q37" s="590"/>
      <c r="R37" s="590"/>
      <c r="S37" s="590"/>
      <c r="T37" s="590"/>
      <c r="U37" s="590"/>
      <c r="V37" s="590"/>
      <c r="W37" s="590"/>
      <c r="X37" s="610"/>
    </row>
    <row r="38" spans="2:27" ht="17.649999999999999" customHeight="1">
      <c r="B38" s="84" t="s">
        <v>42</v>
      </c>
      <c r="C38" s="688">
        <v>0</v>
      </c>
      <c r="D38" s="688">
        <v>0</v>
      </c>
      <c r="E38" s="92">
        <v>0</v>
      </c>
      <c r="F38" s="29"/>
      <c r="G38" s="29"/>
      <c r="H38" s="620"/>
      <c r="I38" s="620"/>
      <c r="J38" s="620"/>
      <c r="K38" s="620"/>
      <c r="L38" s="7"/>
      <c r="M38" s="8"/>
      <c r="N38" s="620"/>
      <c r="O38" s="620"/>
      <c r="P38" s="620"/>
      <c r="Q38" s="620"/>
      <c r="R38" s="620"/>
      <c r="S38" s="620"/>
      <c r="T38" s="620"/>
      <c r="U38" s="620"/>
      <c r="V38" s="620"/>
      <c r="W38" s="62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84" customHeight="1">
      <c r="B41" s="621" t="s">
        <v>467</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96">
    <mergeCell ref="C27:C30"/>
    <mergeCell ref="C31:C34"/>
    <mergeCell ref="C35:C38"/>
    <mergeCell ref="D27:D30"/>
    <mergeCell ref="D31:D34"/>
    <mergeCell ref="D35:D38"/>
    <mergeCell ref="AB3:AR4"/>
    <mergeCell ref="AR5:AR6"/>
    <mergeCell ref="AD17:AH17"/>
    <mergeCell ref="AR17:AR19"/>
    <mergeCell ref="AB11:AC13"/>
    <mergeCell ref="AR11:AR13"/>
    <mergeCell ref="AB14:AC16"/>
    <mergeCell ref="AD14:AH14"/>
    <mergeCell ref="AI14:AK14"/>
    <mergeCell ref="AL14:AO14"/>
    <mergeCell ref="AP14:AQ14"/>
    <mergeCell ref="AR14:AR16"/>
    <mergeCell ref="AP15:AQ15"/>
    <mergeCell ref="AP16:AQ16"/>
    <mergeCell ref="AP17:AQ17"/>
    <mergeCell ref="AB17:AC19"/>
    <mergeCell ref="AP19:AQ19"/>
    <mergeCell ref="AD7:AH7"/>
    <mergeCell ref="AR7:AR10"/>
    <mergeCell ref="B1:T1"/>
    <mergeCell ref="U1:X4"/>
    <mergeCell ref="B2:T4"/>
    <mergeCell ref="C5:D5"/>
    <mergeCell ref="E5:G5"/>
    <mergeCell ref="H5:J5"/>
    <mergeCell ref="K5:N5"/>
    <mergeCell ref="O5:R5"/>
    <mergeCell ref="S5:V5"/>
    <mergeCell ref="B10:X10"/>
    <mergeCell ref="AD10:AH10"/>
    <mergeCell ref="W5:X5"/>
    <mergeCell ref="AB5:AC6"/>
    <mergeCell ref="AD5:AH6"/>
    <mergeCell ref="AI5:AK6"/>
    <mergeCell ref="AL5:AO6"/>
    <mergeCell ref="AP5:AQ6"/>
    <mergeCell ref="B6:X6"/>
    <mergeCell ref="AP7:AQ10"/>
    <mergeCell ref="AD8:AH8"/>
    <mergeCell ref="B9:X9"/>
    <mergeCell ref="AD9:AH9"/>
    <mergeCell ref="B7:F8"/>
    <mergeCell ref="AP12:AQ12"/>
    <mergeCell ref="O13:R13"/>
    <mergeCell ref="S13:U13"/>
    <mergeCell ref="V13:X13"/>
    <mergeCell ref="AP13:AQ13"/>
    <mergeCell ref="G7:X8"/>
    <mergeCell ref="AB7:AC10"/>
    <mergeCell ref="AI7:AK10"/>
    <mergeCell ref="AL7:AO10"/>
    <mergeCell ref="B11:X11"/>
    <mergeCell ref="AD11:AH11"/>
    <mergeCell ref="AI11:AK11"/>
    <mergeCell ref="AL11:AO11"/>
    <mergeCell ref="AP11:AQ11"/>
    <mergeCell ref="B14:F14"/>
    <mergeCell ref="G14:J14"/>
    <mergeCell ref="K14:N14"/>
    <mergeCell ref="O14:R14"/>
    <mergeCell ref="S14:U14"/>
    <mergeCell ref="V14:X14"/>
    <mergeCell ref="AD13:AH13"/>
    <mergeCell ref="AI13:AK13"/>
    <mergeCell ref="AL13:AO13"/>
    <mergeCell ref="B12:F13"/>
    <mergeCell ref="G12:J13"/>
    <mergeCell ref="K12:N13"/>
    <mergeCell ref="O12:X12"/>
    <mergeCell ref="AD12:AH12"/>
    <mergeCell ref="AI12:AK12"/>
    <mergeCell ref="AL12:AO12"/>
    <mergeCell ref="B15:X15"/>
    <mergeCell ref="AD15:AH15"/>
    <mergeCell ref="AI15:AK15"/>
    <mergeCell ref="AL15:AO15"/>
    <mergeCell ref="B16:B17"/>
    <mergeCell ref="C16:D17"/>
    <mergeCell ref="M17:Q17"/>
    <mergeCell ref="R17:U17"/>
    <mergeCell ref="V17:X17"/>
    <mergeCell ref="AD16:AH16"/>
    <mergeCell ref="AI17:AK17"/>
    <mergeCell ref="AL17:AO17"/>
    <mergeCell ref="E16:F17"/>
    <mergeCell ref="G16:L17"/>
    <mergeCell ref="M16:X16"/>
    <mergeCell ref="AI16:AK16"/>
    <mergeCell ref="AL16:AO16"/>
    <mergeCell ref="B20:L20"/>
    <mergeCell ref="M20:X20"/>
    <mergeCell ref="AD18:AH18"/>
    <mergeCell ref="AI18:AK18"/>
    <mergeCell ref="AL18:AO18"/>
    <mergeCell ref="AP18:AQ18"/>
    <mergeCell ref="B19:L19"/>
    <mergeCell ref="M19:X19"/>
    <mergeCell ref="AD19:AH19"/>
    <mergeCell ref="AI19:AK19"/>
    <mergeCell ref="AL19:AO19"/>
    <mergeCell ref="C18:D18"/>
    <mergeCell ref="E18:F18"/>
    <mergeCell ref="G18:L18"/>
    <mergeCell ref="M18:Q18"/>
    <mergeCell ref="R18:U18"/>
    <mergeCell ref="V18:X18"/>
    <mergeCell ref="T22:U22"/>
    <mergeCell ref="V22:W22"/>
    <mergeCell ref="B21:X21"/>
    <mergeCell ref="B22:C22"/>
    <mergeCell ref="G22:I22"/>
    <mergeCell ref="K22:M22"/>
    <mergeCell ref="O22:P22"/>
    <mergeCell ref="Q22:S22"/>
    <mergeCell ref="D23:I23"/>
    <mergeCell ref="J23:P23"/>
    <mergeCell ref="Q23:X23"/>
    <mergeCell ref="B24:C24"/>
    <mergeCell ref="B23:C23"/>
    <mergeCell ref="D24:I24"/>
    <mergeCell ref="J24:P24"/>
    <mergeCell ref="Q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H32:I32"/>
    <mergeCell ref="J32:K32"/>
    <mergeCell ref="N32:O32"/>
    <mergeCell ref="P32:R32"/>
    <mergeCell ref="H33:I33"/>
    <mergeCell ref="J33:K33"/>
    <mergeCell ref="N33:O33"/>
    <mergeCell ref="P33:R33"/>
    <mergeCell ref="H34:I34"/>
    <mergeCell ref="J34:K34"/>
    <mergeCell ref="N34:O34"/>
    <mergeCell ref="P34:R34"/>
    <mergeCell ref="I47:X47"/>
    <mergeCell ref="B48:X48"/>
    <mergeCell ref="G50:H50"/>
    <mergeCell ref="I50:X50"/>
    <mergeCell ref="B42:X42"/>
    <mergeCell ref="B43:X43"/>
    <mergeCell ref="B44:X44"/>
    <mergeCell ref="G45:H45"/>
    <mergeCell ref="I45:J45"/>
    <mergeCell ref="K45:L45"/>
    <mergeCell ref="B46:H46"/>
    <mergeCell ref="L46:M46"/>
    <mergeCell ref="Q46:R46"/>
    <mergeCell ref="AB1:AR1"/>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P28:R28"/>
    <mergeCell ref="H29:I29"/>
    <mergeCell ref="J29:K29"/>
    <mergeCell ref="N29:O29"/>
    <mergeCell ref="P29:R29"/>
    <mergeCell ref="H35:I35"/>
    <mergeCell ref="J35:K35"/>
    <mergeCell ref="N35:O35"/>
    <mergeCell ref="P35:R35"/>
  </mergeCells>
  <pageMargins left="0.23622047244094491" right="0.23622047244094491" top="0.31496062992125984" bottom="0" header="0.51181102362204722" footer="0.51181102362204722"/>
  <pageSetup scale="8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theme="9"/>
    <pageSetUpPr fitToPage="1"/>
  </sheetPr>
  <dimension ref="B1:AR50"/>
  <sheetViews>
    <sheetView zoomScale="80" zoomScaleNormal="80" zoomScaleSheetLayoutView="100" workbookViewId="0">
      <selection activeCell="AK29" sqref="AK29"/>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95" t="s">
        <v>204</v>
      </c>
      <c r="AJ7" s="696"/>
      <c r="AK7" s="697"/>
      <c r="AL7" s="695" t="s">
        <v>204</v>
      </c>
      <c r="AM7" s="696"/>
      <c r="AN7" s="696"/>
      <c r="AO7" s="697"/>
      <c r="AP7" s="705" t="s">
        <v>204</v>
      </c>
      <c r="AQ7" s="706"/>
      <c r="AR7" s="66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98"/>
      <c r="AJ8" s="699"/>
      <c r="AK8" s="700"/>
      <c r="AL8" s="698"/>
      <c r="AM8" s="699"/>
      <c r="AN8" s="699"/>
      <c r="AO8" s="700"/>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98"/>
      <c r="AJ9" s="699"/>
      <c r="AK9" s="700"/>
      <c r="AL9" s="698"/>
      <c r="AM9" s="699"/>
      <c r="AN9" s="699"/>
      <c r="AO9" s="700"/>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01"/>
      <c r="AJ10" s="702"/>
      <c r="AK10" s="703"/>
      <c r="AL10" s="701"/>
      <c r="AM10" s="702"/>
      <c r="AN10" s="702"/>
      <c r="AO10" s="703"/>
      <c r="AP10" s="709"/>
      <c r="AQ10" s="710"/>
      <c r="AR10" s="668"/>
    </row>
    <row r="11" spans="2:44" ht="38.25" customHeight="1">
      <c r="B11" s="640" t="s">
        <v>152</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30</v>
      </c>
      <c r="AJ11" s="672"/>
      <c r="AK11" s="672"/>
      <c r="AL11" s="672">
        <v>23</v>
      </c>
      <c r="AM11" s="672"/>
      <c r="AN11" s="672"/>
      <c r="AO11" s="672"/>
      <c r="AP11" s="671">
        <f>AL11/AI11</f>
        <v>0.76666666666666672</v>
      </c>
      <c r="AQ11" s="671"/>
      <c r="AR11" s="669">
        <f>SUM(AP11:AQ14)/4</f>
        <v>0.81791666666666663</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40</v>
      </c>
      <c r="AJ12" s="672"/>
      <c r="AK12" s="672"/>
      <c r="AL12" s="672">
        <v>35</v>
      </c>
      <c r="AM12" s="672"/>
      <c r="AN12" s="672"/>
      <c r="AO12" s="672"/>
      <c r="AP12" s="671">
        <f t="shared" ref="AP12:AP22" si="0">AL12/AI12</f>
        <v>0.875</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40</v>
      </c>
      <c r="AJ13" s="672"/>
      <c r="AK13" s="672"/>
      <c r="AL13" s="672">
        <v>26</v>
      </c>
      <c r="AM13" s="672"/>
      <c r="AN13" s="672"/>
      <c r="AO13" s="672"/>
      <c r="AP13" s="671">
        <f t="shared" si="0"/>
        <v>0.65</v>
      </c>
      <c r="AQ13" s="671"/>
      <c r="AR13" s="669"/>
    </row>
    <row r="14" spans="2:44" ht="29.25" customHeight="1">
      <c r="B14" s="632" t="s">
        <v>303</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50</v>
      </c>
      <c r="AJ14" s="672"/>
      <c r="AK14" s="672"/>
      <c r="AL14" s="672">
        <v>49</v>
      </c>
      <c r="AM14" s="672"/>
      <c r="AN14" s="672"/>
      <c r="AO14" s="672"/>
      <c r="AP14" s="671">
        <f t="shared" si="0"/>
        <v>0.98</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704">
        <v>1</v>
      </c>
      <c r="AJ15" s="704"/>
      <c r="AK15" s="704"/>
      <c r="AL15" s="673">
        <v>1</v>
      </c>
      <c r="AM15" s="673"/>
      <c r="AN15" s="673"/>
      <c r="AO15" s="673"/>
      <c r="AP15" s="674">
        <f t="shared" si="0"/>
        <v>1</v>
      </c>
      <c r="AQ15" s="674"/>
      <c r="AR15" s="668">
        <f t="shared" ref="AR15" si="1">SUM(AP15:AQ18)/4</f>
        <v>0.88736263736263732</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704">
        <v>11</v>
      </c>
      <c r="AJ16" s="704"/>
      <c r="AK16" s="704"/>
      <c r="AL16" s="673">
        <v>11</v>
      </c>
      <c r="AM16" s="673"/>
      <c r="AN16" s="673"/>
      <c r="AO16" s="673"/>
      <c r="AP16" s="674">
        <f t="shared" si="0"/>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704">
        <v>18</v>
      </c>
      <c r="AJ17" s="704"/>
      <c r="AK17" s="704"/>
      <c r="AL17" s="673">
        <v>18</v>
      </c>
      <c r="AM17" s="673"/>
      <c r="AN17" s="673"/>
      <c r="AO17" s="673"/>
      <c r="AP17" s="674">
        <f t="shared" si="0"/>
        <v>1</v>
      </c>
      <c r="AQ17" s="674"/>
      <c r="AR17" s="668"/>
    </row>
    <row r="18" spans="2:44" ht="28.5" customHeight="1">
      <c r="B18" s="43" t="s">
        <v>195</v>
      </c>
      <c r="C18" s="607" t="s">
        <v>112</v>
      </c>
      <c r="D18" s="608"/>
      <c r="E18" s="644">
        <v>1</v>
      </c>
      <c r="F18" s="644"/>
      <c r="G18" s="632" t="s">
        <v>196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704">
        <v>91</v>
      </c>
      <c r="AJ18" s="704"/>
      <c r="AK18" s="704"/>
      <c r="AL18" s="673">
        <v>50</v>
      </c>
      <c r="AM18" s="673"/>
      <c r="AN18" s="673"/>
      <c r="AO18" s="673"/>
      <c r="AP18" s="674">
        <f t="shared" si="0"/>
        <v>0.5494505494505495</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99</v>
      </c>
      <c r="AJ19" s="672"/>
      <c r="AK19" s="672"/>
      <c r="AL19" s="672">
        <v>12</v>
      </c>
      <c r="AM19" s="672"/>
      <c r="AN19" s="672"/>
      <c r="AO19" s="672"/>
      <c r="AP19" s="671">
        <f t="shared" si="0"/>
        <v>0.12121212121212122</v>
      </c>
      <c r="AQ19" s="671"/>
      <c r="AR19" s="669">
        <f t="shared" ref="AR19" si="2">SUM(AP19:AQ22)/4</f>
        <v>3.0303030303030304E-2</v>
      </c>
    </row>
    <row r="20" spans="2:44" ht="45.4" customHeight="1">
      <c r="B20" s="607" t="s">
        <v>207</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99</v>
      </c>
      <c r="AJ20" s="672"/>
      <c r="AK20" s="672"/>
      <c r="AL20" s="672"/>
      <c r="AM20" s="672"/>
      <c r="AN20" s="672"/>
      <c r="AO20" s="672"/>
      <c r="AP20" s="671">
        <f t="shared" si="0"/>
        <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v>99</v>
      </c>
      <c r="AJ21" s="672"/>
      <c r="AK21" s="672"/>
      <c r="AL21" s="672"/>
      <c r="AM21" s="672"/>
      <c r="AN21" s="672"/>
      <c r="AO21" s="672"/>
      <c r="AP21" s="671">
        <f t="shared" si="0"/>
        <v>0</v>
      </c>
      <c r="AQ21" s="671"/>
      <c r="AR21" s="669"/>
    </row>
    <row r="22" spans="2:44" ht="18.95" customHeight="1">
      <c r="B22" s="633" t="s">
        <v>12</v>
      </c>
      <c r="C22" s="633"/>
      <c r="D22" s="83" t="s">
        <v>13</v>
      </c>
      <c r="E22" s="83" t="s">
        <v>14</v>
      </c>
      <c r="F22" s="83" t="s">
        <v>15</v>
      </c>
      <c r="G22" s="641" t="s">
        <v>16</v>
      </c>
      <c r="H22" s="641"/>
      <c r="I22" s="641"/>
      <c r="J22" s="83" t="s">
        <v>17</v>
      </c>
      <c r="K22" s="641" t="s">
        <v>18</v>
      </c>
      <c r="L22" s="641"/>
      <c r="M22" s="641"/>
      <c r="N22" s="83" t="s">
        <v>19</v>
      </c>
      <c r="O22" s="641" t="s">
        <v>20</v>
      </c>
      <c r="P22" s="641"/>
      <c r="Q22" s="641" t="s">
        <v>21</v>
      </c>
      <c r="R22" s="641"/>
      <c r="S22" s="641"/>
      <c r="T22" s="641" t="s">
        <v>22</v>
      </c>
      <c r="U22" s="641"/>
      <c r="V22" s="641" t="s">
        <v>23</v>
      </c>
      <c r="W22" s="641"/>
      <c r="X22" s="83" t="s">
        <v>24</v>
      </c>
      <c r="AB22" s="679"/>
      <c r="AC22" s="679"/>
      <c r="AD22" s="681" t="s">
        <v>142</v>
      </c>
      <c r="AE22" s="681"/>
      <c r="AF22" s="681"/>
      <c r="AG22" s="681"/>
      <c r="AH22" s="681"/>
      <c r="AI22" s="672">
        <v>99</v>
      </c>
      <c r="AJ22" s="672"/>
      <c r="AK22" s="672"/>
      <c r="AL22" s="672"/>
      <c r="AM22" s="672"/>
      <c r="AN22" s="672"/>
      <c r="AO22" s="672"/>
      <c r="AP22" s="671">
        <f t="shared" si="0"/>
        <v>0</v>
      </c>
      <c r="AQ22" s="671"/>
      <c r="AR22" s="669"/>
    </row>
    <row r="23" spans="2:44" ht="18.95" customHeight="1">
      <c r="B23" s="633" t="s">
        <v>25</v>
      </c>
      <c r="C23" s="633"/>
      <c r="D23" s="682">
        <f>AL15</f>
        <v>1</v>
      </c>
      <c r="E23" s="683"/>
      <c r="F23" s="684"/>
      <c r="G23" s="685">
        <f>AL16</f>
        <v>11</v>
      </c>
      <c r="H23" s="643"/>
      <c r="I23" s="643"/>
      <c r="J23" s="643"/>
      <c r="K23" s="643"/>
      <c r="L23" s="643"/>
      <c r="M23" s="608"/>
      <c r="N23" s="682">
        <f>AL17</f>
        <v>18</v>
      </c>
      <c r="O23" s="683"/>
      <c r="P23" s="683"/>
      <c r="Q23" s="683"/>
      <c r="R23" s="683"/>
      <c r="S23" s="684"/>
      <c r="T23" s="685">
        <f>AL18</f>
        <v>50</v>
      </c>
      <c r="U23" s="643"/>
      <c r="V23" s="643"/>
      <c r="W23" s="643"/>
      <c r="X23" s="608"/>
      <c r="Z23" s="52"/>
      <c r="AA23" s="52"/>
    </row>
    <row r="24" spans="2:44" ht="18.95" customHeight="1">
      <c r="B24" s="633" t="s">
        <v>26</v>
      </c>
      <c r="C24" s="633"/>
      <c r="D24" s="682">
        <f>AI15</f>
        <v>1</v>
      </c>
      <c r="E24" s="683"/>
      <c r="F24" s="684"/>
      <c r="G24" s="685">
        <f>AI16</f>
        <v>11</v>
      </c>
      <c r="H24" s="643"/>
      <c r="I24" s="643"/>
      <c r="J24" s="643"/>
      <c r="K24" s="643"/>
      <c r="L24" s="643"/>
      <c r="M24" s="608"/>
      <c r="N24" s="682">
        <f>AI17</f>
        <v>18</v>
      </c>
      <c r="O24" s="683"/>
      <c r="P24" s="683"/>
      <c r="Q24" s="683"/>
      <c r="R24" s="683"/>
      <c r="S24" s="684"/>
      <c r="T24" s="685">
        <f>AI18</f>
        <v>91</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3" t="s">
        <v>27</v>
      </c>
      <c r="C26" s="83" t="s">
        <v>28</v>
      </c>
      <c r="D26" s="83" t="s">
        <v>29</v>
      </c>
      <c r="E26" s="83"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84" t="s">
        <v>31</v>
      </c>
      <c r="C27" s="686">
        <f>IF(ISERROR(D23/D24),0,$D$23/$D$24)</f>
        <v>1</v>
      </c>
      <c r="D27" s="686">
        <f>$E$18</f>
        <v>1</v>
      </c>
      <c r="E27" s="118">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84" t="s">
        <v>32</v>
      </c>
      <c r="C28" s="687"/>
      <c r="D28" s="687"/>
      <c r="E28" s="118">
        <f t="shared" ref="E28:E29"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84" t="s">
        <v>33</v>
      </c>
      <c r="C29" s="688"/>
      <c r="D29" s="688"/>
      <c r="E29" s="118">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84" t="s">
        <v>34</v>
      </c>
      <c r="C30" s="686">
        <f>IF(ISERROR(G23/G24),0,G23/G24)</f>
        <v>1</v>
      </c>
      <c r="D30" s="686">
        <f t="shared" ref="D30:D36" si="4">$E$18</f>
        <v>1</v>
      </c>
      <c r="E30" s="118">
        <f t="shared" ref="E30:E37" si="5">$O$14</f>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84" t="s">
        <v>35</v>
      </c>
      <c r="C31" s="687"/>
      <c r="D31" s="687"/>
      <c r="E31" s="118">
        <f t="shared" si="5"/>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84" t="s">
        <v>36</v>
      </c>
      <c r="C32" s="688"/>
      <c r="D32" s="688"/>
      <c r="E32" s="118">
        <f t="shared" si="5"/>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84" t="s">
        <v>37</v>
      </c>
      <c r="C33" s="686">
        <f>IF(ISERROR(N23/N24),0,T23/T24)</f>
        <v>0.5494505494505495</v>
      </c>
      <c r="D33" s="686">
        <f t="shared" si="4"/>
        <v>1</v>
      </c>
      <c r="E33" s="118">
        <f t="shared" si="5"/>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84" t="s">
        <v>38</v>
      </c>
      <c r="C34" s="687"/>
      <c r="D34" s="687"/>
      <c r="E34" s="118">
        <f t="shared" si="5"/>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84" t="s">
        <v>39</v>
      </c>
      <c r="C35" s="688"/>
      <c r="D35" s="688"/>
      <c r="E35" s="118">
        <f t="shared" si="5"/>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84" t="s">
        <v>40</v>
      </c>
      <c r="C36" s="686">
        <f>IF(ISERROR(T23/T24),0,T23/T24)</f>
        <v>0.5494505494505495</v>
      </c>
      <c r="D36" s="686">
        <f t="shared" si="4"/>
        <v>1</v>
      </c>
      <c r="E36" s="118">
        <f t="shared" si="5"/>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84" t="s">
        <v>41</v>
      </c>
      <c r="C37" s="687"/>
      <c r="D37" s="687"/>
      <c r="E37" s="118">
        <f t="shared" si="5"/>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84" t="s">
        <v>42</v>
      </c>
      <c r="C38" s="688"/>
      <c r="D38" s="688"/>
      <c r="E38" s="118">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66" customHeight="1">
      <c r="B41" s="621" t="s">
        <v>468</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D8:AH8"/>
    <mergeCell ref="B9:X9"/>
    <mergeCell ref="AD9:AH9"/>
    <mergeCell ref="B7:F8"/>
    <mergeCell ref="G7:X8"/>
    <mergeCell ref="AB7:AC10"/>
    <mergeCell ref="AD7:AH7"/>
    <mergeCell ref="B10:X10"/>
    <mergeCell ref="AD10:AH10"/>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tabColor theme="7"/>
    <pageSetUpPr fitToPage="1"/>
  </sheetPr>
  <dimension ref="B1:AR50"/>
  <sheetViews>
    <sheetView zoomScale="80" zoomScaleNormal="80" zoomScaleSheetLayoutView="100" workbookViewId="0">
      <selection activeCell="AK26" sqref="AK2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326</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86"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91</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141</v>
      </c>
      <c r="AJ7" s="673"/>
      <c r="AK7" s="673"/>
      <c r="AL7" s="673">
        <v>141</v>
      </c>
      <c r="AM7" s="673"/>
      <c r="AN7" s="673"/>
      <c r="AO7" s="673"/>
      <c r="AP7" s="674">
        <f t="shared" ref="AP7:AP10" si="0">AL7/AI7</f>
        <v>1</v>
      </c>
      <c r="AQ7" s="674"/>
      <c r="AR7" s="668">
        <f>SUM(AP7:AQ10)/4</f>
        <v>0.9890300539155501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136</v>
      </c>
      <c r="AJ8" s="673"/>
      <c r="AK8" s="673"/>
      <c r="AL8" s="673">
        <v>136</v>
      </c>
      <c r="AM8" s="673"/>
      <c r="AN8" s="673"/>
      <c r="AO8" s="673"/>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131</v>
      </c>
      <c r="AJ9" s="673"/>
      <c r="AK9" s="673"/>
      <c r="AL9" s="673">
        <v>128</v>
      </c>
      <c r="AM9" s="673"/>
      <c r="AN9" s="673"/>
      <c r="AO9" s="673"/>
      <c r="AP9" s="674">
        <f t="shared" si="0"/>
        <v>0.97709923664122134</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143</v>
      </c>
      <c r="AJ10" s="673"/>
      <c r="AK10" s="673"/>
      <c r="AL10" s="673">
        <v>140</v>
      </c>
      <c r="AM10" s="673"/>
      <c r="AN10" s="673"/>
      <c r="AO10" s="673"/>
      <c r="AP10" s="674">
        <f t="shared" si="0"/>
        <v>0.97902097902097907</v>
      </c>
      <c r="AQ10" s="674"/>
      <c r="AR10" s="668"/>
    </row>
    <row r="11" spans="2:44" ht="38.25" customHeight="1">
      <c r="B11" s="640" t="s">
        <v>153</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113</v>
      </c>
      <c r="AJ11" s="672"/>
      <c r="AK11" s="672"/>
      <c r="AL11" s="672">
        <v>113</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44</v>
      </c>
      <c r="AJ12" s="672"/>
      <c r="AK12" s="672"/>
      <c r="AL12" s="672">
        <v>44</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35</v>
      </c>
      <c r="AJ13" s="672"/>
      <c r="AK13" s="672"/>
      <c r="AL13" s="672">
        <v>35</v>
      </c>
      <c r="AM13" s="672"/>
      <c r="AN13" s="672"/>
      <c r="AO13" s="672"/>
      <c r="AP13" s="671">
        <f t="shared" si="1"/>
        <v>1</v>
      </c>
      <c r="AQ13" s="671"/>
      <c r="AR13" s="669"/>
    </row>
    <row r="14" spans="2:44" ht="29.25" customHeight="1">
      <c r="B14" s="632" t="s">
        <v>327</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6</v>
      </c>
      <c r="AJ14" s="672"/>
      <c r="AK14" s="672"/>
      <c r="AL14" s="672">
        <v>6</v>
      </c>
      <c r="AM14" s="672"/>
      <c r="AN14" s="672"/>
      <c r="AO14" s="672"/>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5</v>
      </c>
      <c r="AJ15" s="673"/>
      <c r="AK15" s="673"/>
      <c r="AL15" s="673">
        <v>5</v>
      </c>
      <c r="AM15" s="673"/>
      <c r="AN15" s="673"/>
      <c r="AO15" s="673"/>
      <c r="AP15" s="674">
        <f t="shared" si="1"/>
        <v>1</v>
      </c>
      <c r="AQ15" s="674"/>
      <c r="AR15" s="668" t="e">
        <f>SUM(AP16+AP15+AP17+AP18)/4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16</v>
      </c>
      <c r="AJ16" s="673"/>
      <c r="AK16" s="673"/>
      <c r="AL16" s="673">
        <v>16</v>
      </c>
      <c r="AM16" s="673"/>
      <c r="AN16" s="673"/>
      <c r="AO16" s="673"/>
      <c r="AP16" s="674">
        <f t="shared" si="1"/>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5</v>
      </c>
      <c r="AJ17" s="673"/>
      <c r="AK17" s="673"/>
      <c r="AL17" s="673">
        <v>5</v>
      </c>
      <c r="AM17" s="673"/>
      <c r="AN17" s="673"/>
      <c r="AO17" s="673"/>
      <c r="AP17" s="674">
        <f t="shared" si="1"/>
        <v>1</v>
      </c>
      <c r="AQ17" s="674"/>
      <c r="AR17" s="668"/>
    </row>
    <row r="18" spans="2:44" ht="28.5" customHeight="1">
      <c r="B18" s="87" t="s">
        <v>195</v>
      </c>
      <c r="C18" s="607" t="s">
        <v>112</v>
      </c>
      <c r="D18" s="608"/>
      <c r="E18" s="644">
        <v>1</v>
      </c>
      <c r="F18" s="644"/>
      <c r="G18" s="632" t="s">
        <v>328</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0</v>
      </c>
      <c r="AJ18" s="673"/>
      <c r="AK18" s="673"/>
      <c r="AL18" s="673">
        <v>0</v>
      </c>
      <c r="AM18" s="673"/>
      <c r="AN18" s="673"/>
      <c r="AO18" s="673"/>
      <c r="AP18" s="674" t="e">
        <f t="shared" si="1"/>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8</v>
      </c>
      <c r="AJ19" s="672"/>
      <c r="AK19" s="672"/>
      <c r="AL19" s="672">
        <v>8</v>
      </c>
      <c r="AM19" s="672"/>
      <c r="AN19" s="672"/>
      <c r="AO19" s="672"/>
      <c r="AP19" s="671">
        <f t="shared" si="1"/>
        <v>1</v>
      </c>
      <c r="AQ19" s="671"/>
      <c r="AR19" s="669" t="e">
        <f t="shared" ref="AR19" si="2">SUM(AP19:AQ22)/4</f>
        <v>#DIV/0!</v>
      </c>
    </row>
    <row r="20" spans="2:44" ht="45.4" customHeight="1">
      <c r="B20" s="607" t="s">
        <v>329</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8</v>
      </c>
      <c r="AJ20" s="672"/>
      <c r="AK20" s="672"/>
      <c r="AL20" s="672">
        <v>8</v>
      </c>
      <c r="AM20" s="672"/>
      <c r="AN20" s="672"/>
      <c r="AO20" s="672"/>
      <c r="AP20" s="671">
        <f t="shared" si="1"/>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5</v>
      </c>
      <c r="E23" s="683"/>
      <c r="F23" s="684"/>
      <c r="G23" s="685">
        <f>AL16</f>
        <v>16</v>
      </c>
      <c r="H23" s="643"/>
      <c r="I23" s="643"/>
      <c r="J23" s="643"/>
      <c r="K23" s="643"/>
      <c r="L23" s="643"/>
      <c r="M23" s="608"/>
      <c r="N23" s="682">
        <f>AL17</f>
        <v>5</v>
      </c>
      <c r="O23" s="683"/>
      <c r="P23" s="683"/>
      <c r="Q23" s="683"/>
      <c r="R23" s="683"/>
      <c r="S23" s="684"/>
      <c r="T23" s="685">
        <f>AL18</f>
        <v>0</v>
      </c>
      <c r="U23" s="643"/>
      <c r="V23" s="643"/>
      <c r="W23" s="643"/>
      <c r="X23" s="608"/>
      <c r="Z23" s="52"/>
      <c r="AA23" s="52"/>
    </row>
    <row r="24" spans="2:44" ht="18.95" customHeight="1">
      <c r="B24" s="633" t="s">
        <v>26</v>
      </c>
      <c r="C24" s="633"/>
      <c r="D24" s="682">
        <f>AI15</f>
        <v>5</v>
      </c>
      <c r="E24" s="683"/>
      <c r="F24" s="684"/>
      <c r="G24" s="685">
        <f>AI16</f>
        <v>16</v>
      </c>
      <c r="H24" s="643"/>
      <c r="I24" s="643"/>
      <c r="J24" s="643"/>
      <c r="K24" s="643"/>
      <c r="L24" s="643"/>
      <c r="M24" s="608"/>
      <c r="N24" s="682">
        <f>AI17</f>
        <v>5</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8" t="s">
        <v>27</v>
      </c>
      <c r="C26" s="88" t="s">
        <v>28</v>
      </c>
      <c r="D26" s="88" t="s">
        <v>29</v>
      </c>
      <c r="E26" s="88"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711">
        <f>IF(ISERROR(D23/D24),0,$D$23/$D$24)</f>
        <v>1</v>
      </c>
      <c r="D27" s="711">
        <f>$E$18</f>
        <v>1</v>
      </c>
      <c r="E27" s="119">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711"/>
      <c r="D28" s="711"/>
      <c r="E28" s="119">
        <f t="shared" ref="E28:E37"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711"/>
      <c r="D29" s="711"/>
      <c r="E29" s="119">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711">
        <f>IF(ISERROR(G23/G24),0,G23/G24)</f>
        <v>1</v>
      </c>
      <c r="D30" s="711">
        <f t="shared" ref="D30:D36" si="4">$E$18</f>
        <v>1</v>
      </c>
      <c r="E30" s="119">
        <f t="shared" si="3"/>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711"/>
      <c r="D31" s="711"/>
      <c r="E31" s="119">
        <f t="shared" si="3"/>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711"/>
      <c r="D32" s="711"/>
      <c r="E32" s="119">
        <f t="shared" si="3"/>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711" t="e">
        <f>IF(ISERROR(N23/N24),0,T23/T24)</f>
        <v>#DIV/0!</v>
      </c>
      <c r="D33" s="711">
        <f t="shared" si="4"/>
        <v>1</v>
      </c>
      <c r="E33" s="119">
        <f t="shared" si="3"/>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711"/>
      <c r="D34" s="711"/>
      <c r="E34" s="119">
        <f t="shared" si="3"/>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711"/>
      <c r="D35" s="711"/>
      <c r="E35" s="119">
        <f t="shared" si="3"/>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711">
        <f>IF(ISERROR(T23/T24),0,T23/T24)</f>
        <v>0</v>
      </c>
      <c r="D36" s="711">
        <f t="shared" si="4"/>
        <v>1</v>
      </c>
      <c r="E36" s="119">
        <f t="shared" si="3"/>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711"/>
      <c r="D37" s="711"/>
      <c r="E37" s="119">
        <f t="shared" si="3"/>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711"/>
      <c r="D38" s="711"/>
      <c r="E38" s="119">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t="s">
        <v>352</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G7:X8</xm:sqref>
        </x14:dataValidation>
        <x14:dataValidation type="list" allowBlank="1" showInputMessage="1" showErrorMessage="1">
          <x14:formula1>
            <xm:f>'C:\Users\lorenar\Downloads\[JURIDICA.xlsx]Hoja1'!#REF!</xm:f>
          </x14:formula1>
          <xm:sqref>C18:D18 G14:J14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tabColor theme="7"/>
    <pageSetUpPr fitToPage="1"/>
  </sheetPr>
  <dimension ref="B1:AR50"/>
  <sheetViews>
    <sheetView zoomScale="80" zoomScaleNormal="80" zoomScaleSheetLayoutView="100" workbookViewId="0">
      <selection activeCell="AP20" sqref="AP20:AQ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326</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86"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91</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0</v>
      </c>
      <c r="AJ7" s="673"/>
      <c r="AK7" s="673"/>
      <c r="AL7" s="673">
        <v>0</v>
      </c>
      <c r="AM7" s="673"/>
      <c r="AN7" s="673"/>
      <c r="AO7" s="673"/>
      <c r="AP7" s="674">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0</v>
      </c>
      <c r="AJ8" s="673"/>
      <c r="AK8" s="673"/>
      <c r="AL8" s="673">
        <v>0</v>
      </c>
      <c r="AM8" s="673"/>
      <c r="AN8" s="673"/>
      <c r="AO8" s="673"/>
      <c r="AP8" s="674">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0</v>
      </c>
      <c r="AJ9" s="673"/>
      <c r="AK9" s="673"/>
      <c r="AL9" s="673">
        <v>0</v>
      </c>
      <c r="AM9" s="673"/>
      <c r="AN9" s="673"/>
      <c r="AO9" s="673"/>
      <c r="AP9" s="674">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1</v>
      </c>
      <c r="AJ10" s="673"/>
      <c r="AK10" s="673"/>
      <c r="AL10" s="673">
        <v>1</v>
      </c>
      <c r="AM10" s="673"/>
      <c r="AN10" s="673"/>
      <c r="AO10" s="673"/>
      <c r="AP10" s="674">
        <f t="shared" ref="AP10" si="0">AL10/AI10</f>
        <v>1</v>
      </c>
      <c r="AQ10" s="674"/>
      <c r="AR10" s="668"/>
    </row>
    <row r="11" spans="2:44" ht="38.25" customHeight="1">
      <c r="B11" s="640" t="s">
        <v>154</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1</v>
      </c>
      <c r="AJ11" s="672"/>
      <c r="AK11" s="672"/>
      <c r="AL11" s="672">
        <v>1</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0</v>
      </c>
      <c r="AJ12" s="672"/>
      <c r="AK12" s="672"/>
      <c r="AL12" s="672">
        <v>0</v>
      </c>
      <c r="AM12" s="672"/>
      <c r="AN12" s="672"/>
      <c r="AO12" s="672"/>
      <c r="AP12" s="671">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0</v>
      </c>
      <c r="AJ13" s="672"/>
      <c r="AK13" s="672"/>
      <c r="AL13" s="672">
        <v>0</v>
      </c>
      <c r="AM13" s="672"/>
      <c r="AN13" s="672"/>
      <c r="AO13" s="672"/>
      <c r="AP13" s="671">
        <v>1</v>
      </c>
      <c r="AQ13" s="671"/>
      <c r="AR13" s="669"/>
    </row>
    <row r="14" spans="2:44" ht="29.25" customHeight="1">
      <c r="B14" s="632" t="s">
        <v>330</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0</v>
      </c>
      <c r="AJ14" s="672"/>
      <c r="AK14" s="672"/>
      <c r="AL14" s="672">
        <v>0</v>
      </c>
      <c r="AM14" s="672"/>
      <c r="AN14" s="672"/>
      <c r="AO14" s="672"/>
      <c r="AP14" s="67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1</v>
      </c>
      <c r="AJ15" s="673"/>
      <c r="AK15" s="673"/>
      <c r="AL15" s="673">
        <v>1</v>
      </c>
      <c r="AM15" s="673"/>
      <c r="AN15" s="673"/>
      <c r="AO15" s="673"/>
      <c r="AP15" s="674">
        <f t="shared" ref="AP15:AP22" si="1">AL15/AI15</f>
        <v>1</v>
      </c>
      <c r="AQ15" s="674"/>
      <c r="AR15" s="668" t="e">
        <f t="shared" ref="AR15" si="2">SUM(AP15:AQ18)/4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0</v>
      </c>
      <c r="AJ16" s="673"/>
      <c r="AK16" s="673"/>
      <c r="AL16" s="673">
        <v>0</v>
      </c>
      <c r="AM16" s="673"/>
      <c r="AN16" s="673"/>
      <c r="AO16" s="673"/>
      <c r="AP16" s="674" t="e">
        <f t="shared" si="1"/>
        <v>#DIV/0!</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0</v>
      </c>
      <c r="AJ17" s="673"/>
      <c r="AK17" s="673"/>
      <c r="AL17" s="673">
        <v>0</v>
      </c>
      <c r="AM17" s="673"/>
      <c r="AN17" s="673"/>
      <c r="AO17" s="673"/>
      <c r="AP17" s="674" t="e">
        <f t="shared" si="1"/>
        <v>#DIV/0!</v>
      </c>
      <c r="AQ17" s="674"/>
      <c r="AR17" s="668"/>
    </row>
    <row r="18" spans="2:44" ht="28.5" customHeight="1">
      <c r="B18" s="87" t="s">
        <v>188</v>
      </c>
      <c r="C18" s="607" t="s">
        <v>112</v>
      </c>
      <c r="D18" s="608"/>
      <c r="E18" s="644">
        <v>1</v>
      </c>
      <c r="F18" s="644"/>
      <c r="G18" s="632" t="s">
        <v>328</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0</v>
      </c>
      <c r="AJ18" s="673"/>
      <c r="AK18" s="673"/>
      <c r="AL18" s="673">
        <v>0</v>
      </c>
      <c r="AM18" s="673"/>
      <c r="AN18" s="673"/>
      <c r="AO18" s="673"/>
      <c r="AP18" s="674" t="e">
        <f t="shared" si="1"/>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0</v>
      </c>
      <c r="AJ19" s="672"/>
      <c r="AK19" s="672"/>
      <c r="AL19" s="672">
        <v>0</v>
      </c>
      <c r="AM19" s="672"/>
      <c r="AN19" s="672"/>
      <c r="AO19" s="672"/>
      <c r="AP19" s="671" t="e">
        <f t="shared" si="1"/>
        <v>#DIV/0!</v>
      </c>
      <c r="AQ19" s="671"/>
      <c r="AR19" s="669" t="e">
        <f t="shared" ref="AR19" si="3">SUM(AP19:AQ22)/4</f>
        <v>#DIV/0!</v>
      </c>
    </row>
    <row r="20" spans="2:44" ht="45.4" customHeight="1">
      <c r="B20" s="607" t="s">
        <v>331</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0</v>
      </c>
      <c r="AJ20" s="672"/>
      <c r="AK20" s="672"/>
      <c r="AL20" s="672">
        <v>0</v>
      </c>
      <c r="AM20" s="672"/>
      <c r="AN20" s="672"/>
      <c r="AO20" s="672"/>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1</v>
      </c>
      <c r="E23" s="683"/>
      <c r="F23" s="684"/>
      <c r="G23" s="685">
        <f>AL16</f>
        <v>0</v>
      </c>
      <c r="H23" s="643"/>
      <c r="I23" s="643"/>
      <c r="J23" s="643"/>
      <c r="K23" s="643"/>
      <c r="L23" s="643"/>
      <c r="M23" s="608"/>
      <c r="N23" s="682">
        <f>AL17</f>
        <v>0</v>
      </c>
      <c r="O23" s="683"/>
      <c r="P23" s="683"/>
      <c r="Q23" s="683"/>
      <c r="R23" s="683"/>
      <c r="S23" s="684"/>
      <c r="T23" s="685">
        <f>AL18</f>
        <v>0</v>
      </c>
      <c r="U23" s="643"/>
      <c r="V23" s="643"/>
      <c r="W23" s="643"/>
      <c r="X23" s="608"/>
      <c r="Z23" s="52"/>
      <c r="AA23" s="52"/>
    </row>
    <row r="24" spans="2:44" ht="18.95" customHeight="1">
      <c r="B24" s="633" t="s">
        <v>26</v>
      </c>
      <c r="C24" s="633"/>
      <c r="D24" s="682">
        <f>AI15</f>
        <v>1</v>
      </c>
      <c r="E24" s="683"/>
      <c r="F24" s="684"/>
      <c r="G24" s="685">
        <f>AI16</f>
        <v>0</v>
      </c>
      <c r="H24" s="643"/>
      <c r="I24" s="643"/>
      <c r="J24" s="643"/>
      <c r="K24" s="643"/>
      <c r="L24" s="643"/>
      <c r="M24" s="608"/>
      <c r="N24" s="682">
        <f>AI17</f>
        <v>0</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8" t="s">
        <v>27</v>
      </c>
      <c r="C26" s="88" t="s">
        <v>28</v>
      </c>
      <c r="D26" s="88"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89" t="s">
        <v>31</v>
      </c>
      <c r="C27" s="686">
        <f>IF(ISERROR(D23/D24),0,$D$23/$D$24)</f>
        <v>1</v>
      </c>
      <c r="D27" s="686">
        <f>$E$18</f>
        <v>1</v>
      </c>
      <c r="E27" s="99">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89" t="s">
        <v>32</v>
      </c>
      <c r="C28" s="687"/>
      <c r="D28" s="687"/>
      <c r="E28" s="99">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89" t="s">
        <v>33</v>
      </c>
      <c r="C29" s="688"/>
      <c r="D29" s="688"/>
      <c r="E29" s="99">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89" t="s">
        <v>34</v>
      </c>
      <c r="C30" s="686">
        <f>IF(ISERROR(G23/G24),0,G23/G24)</f>
        <v>0</v>
      </c>
      <c r="D30" s="686">
        <f t="shared" ref="D30:D36" si="5">$E$18</f>
        <v>1</v>
      </c>
      <c r="E30" s="99">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89" t="s">
        <v>35</v>
      </c>
      <c r="C31" s="687"/>
      <c r="D31" s="687"/>
      <c r="E31" s="99">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89" t="s">
        <v>36</v>
      </c>
      <c r="C32" s="688"/>
      <c r="D32" s="688"/>
      <c r="E32" s="99">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89" t="s">
        <v>37</v>
      </c>
      <c r="C33" s="686">
        <f>IF(ISERROR(N23/N24),0,T23/T24)</f>
        <v>0</v>
      </c>
      <c r="D33" s="686">
        <f t="shared" si="5"/>
        <v>1</v>
      </c>
      <c r="E33" s="99">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89" t="s">
        <v>38</v>
      </c>
      <c r="C34" s="687"/>
      <c r="D34" s="687"/>
      <c r="E34" s="99">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89" t="s">
        <v>39</v>
      </c>
      <c r="C35" s="688"/>
      <c r="D35" s="688"/>
      <c r="E35" s="99">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89" t="s">
        <v>40</v>
      </c>
      <c r="C36" s="686">
        <f>IF(ISERROR(T23/T24),0,T23/T24)</f>
        <v>0</v>
      </c>
      <c r="D36" s="686">
        <f t="shared" si="5"/>
        <v>1</v>
      </c>
      <c r="E36" s="99">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89" t="s">
        <v>41</v>
      </c>
      <c r="C37" s="687"/>
      <c r="D37" s="687"/>
      <c r="E37" s="99">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89" t="s">
        <v>42</v>
      </c>
      <c r="C38" s="688"/>
      <c r="D38" s="688"/>
      <c r="E38" s="99">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t="s">
        <v>332</v>
      </c>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G14:J14</xm:sqref>
        </x14:dataValidation>
        <x14:dataValidation type="list" allowBlank="1" showInputMessage="1" showErrorMessage="1">
          <x14:formula1>
            <xm:f>'C:\Users\lorenar\Downloads\[JURIDICA.xlsx]Hoja1'!#REF!</xm:f>
          </x14:formula1>
          <xm:sqref>C18:D18 G7:X8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tabColor theme="7"/>
    <pageSetUpPr fitToPage="1"/>
  </sheetPr>
  <dimension ref="B1:AR50"/>
  <sheetViews>
    <sheetView zoomScale="80" zoomScaleNormal="80" zoomScaleSheetLayoutView="100" workbookViewId="0">
      <selection activeCell="AD32" sqref="AD3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326</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86"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91</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0</v>
      </c>
      <c r="AJ7" s="673"/>
      <c r="AK7" s="673"/>
      <c r="AL7" s="673">
        <v>0</v>
      </c>
      <c r="AM7" s="673"/>
      <c r="AN7" s="673"/>
      <c r="AO7" s="673"/>
      <c r="AP7" s="674">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1</v>
      </c>
      <c r="AJ8" s="673"/>
      <c r="AK8" s="673"/>
      <c r="AL8" s="673">
        <v>1</v>
      </c>
      <c r="AM8" s="673"/>
      <c r="AN8" s="673"/>
      <c r="AO8" s="673"/>
      <c r="AP8" s="674">
        <f t="shared" ref="AP8:AP10" si="0">AL8/AI8</f>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1</v>
      </c>
      <c r="AJ9" s="673"/>
      <c r="AK9" s="673"/>
      <c r="AL9" s="673">
        <v>1</v>
      </c>
      <c r="AM9" s="673"/>
      <c r="AN9" s="673"/>
      <c r="AO9" s="673"/>
      <c r="AP9" s="674">
        <f t="shared" si="0"/>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1</v>
      </c>
      <c r="AJ10" s="673"/>
      <c r="AK10" s="673"/>
      <c r="AL10" s="673">
        <v>1</v>
      </c>
      <c r="AM10" s="673"/>
      <c r="AN10" s="673"/>
      <c r="AO10" s="673"/>
      <c r="AP10" s="674">
        <f t="shared" si="0"/>
        <v>1</v>
      </c>
      <c r="AQ10" s="674"/>
      <c r="AR10" s="668"/>
    </row>
    <row r="11" spans="2:44" ht="38.25" customHeight="1">
      <c r="B11" s="640" t="s">
        <v>155</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0</v>
      </c>
      <c r="AJ11" s="672"/>
      <c r="AK11" s="672"/>
      <c r="AL11" s="672">
        <v>0</v>
      </c>
      <c r="AM11" s="672"/>
      <c r="AN11" s="672"/>
      <c r="AO11" s="672"/>
      <c r="AP11" s="671">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0</v>
      </c>
      <c r="AJ12" s="672"/>
      <c r="AK12" s="672"/>
      <c r="AL12" s="672">
        <v>0</v>
      </c>
      <c r="AM12" s="672"/>
      <c r="AN12" s="672"/>
      <c r="AO12" s="672"/>
      <c r="AP12" s="671">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3</v>
      </c>
      <c r="AJ13" s="672"/>
      <c r="AK13" s="672"/>
      <c r="AL13" s="672">
        <v>3</v>
      </c>
      <c r="AM13" s="672"/>
      <c r="AN13" s="672"/>
      <c r="AO13" s="672"/>
      <c r="AP13" s="671">
        <f>AL13/AI13</f>
        <v>1</v>
      </c>
      <c r="AQ13" s="671"/>
      <c r="AR13" s="669"/>
    </row>
    <row r="14" spans="2:44" ht="29.25" customHeight="1">
      <c r="B14" s="632" t="s">
        <v>333</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0</v>
      </c>
      <c r="AJ14" s="672"/>
      <c r="AK14" s="672"/>
      <c r="AL14" s="672">
        <v>0</v>
      </c>
      <c r="AM14" s="672"/>
      <c r="AN14" s="672"/>
      <c r="AO14" s="672"/>
      <c r="AP14" s="67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0</v>
      </c>
      <c r="AJ15" s="673"/>
      <c r="AK15" s="673"/>
      <c r="AL15" s="673">
        <v>0</v>
      </c>
      <c r="AM15" s="673"/>
      <c r="AN15" s="673"/>
      <c r="AO15" s="673"/>
      <c r="AP15" s="674">
        <v>1</v>
      </c>
      <c r="AQ15" s="674"/>
      <c r="AR15" s="668" t="e">
        <f t="shared" ref="AR15" si="1">SUM(AP15:AQ18)/4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0</v>
      </c>
      <c r="AJ16" s="673"/>
      <c r="AK16" s="673"/>
      <c r="AL16" s="673">
        <v>0</v>
      </c>
      <c r="AM16" s="673"/>
      <c r="AN16" s="673"/>
      <c r="AO16" s="673"/>
      <c r="AP16" s="674" t="e">
        <f t="shared" ref="AP16:AP22" si="2">AL16/AI16</f>
        <v>#DIV/0!</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0</v>
      </c>
      <c r="AJ17" s="673"/>
      <c r="AK17" s="673"/>
      <c r="AL17" s="673">
        <v>0</v>
      </c>
      <c r="AM17" s="673"/>
      <c r="AN17" s="673"/>
      <c r="AO17" s="673"/>
      <c r="AP17" s="674" t="e">
        <f t="shared" si="2"/>
        <v>#DIV/0!</v>
      </c>
      <c r="AQ17" s="674"/>
      <c r="AR17" s="668"/>
    </row>
    <row r="18" spans="2:44" ht="28.5" customHeight="1">
      <c r="B18" s="87" t="s">
        <v>188</v>
      </c>
      <c r="C18" s="607" t="s">
        <v>112</v>
      </c>
      <c r="D18" s="608"/>
      <c r="E18" s="644">
        <v>1</v>
      </c>
      <c r="F18" s="644"/>
      <c r="G18" s="632" t="s">
        <v>334</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0</v>
      </c>
      <c r="AJ18" s="673"/>
      <c r="AK18" s="673"/>
      <c r="AL18" s="673">
        <v>0</v>
      </c>
      <c r="AM18" s="673"/>
      <c r="AN18" s="673"/>
      <c r="AO18" s="673"/>
      <c r="AP18" s="674" t="e">
        <f t="shared" si="2"/>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2</v>
      </c>
      <c r="AJ19" s="672"/>
      <c r="AK19" s="672"/>
      <c r="AL19" s="672">
        <v>2</v>
      </c>
      <c r="AM19" s="672"/>
      <c r="AN19" s="672"/>
      <c r="AO19" s="672"/>
      <c r="AP19" s="671">
        <f t="shared" si="2"/>
        <v>1</v>
      </c>
      <c r="AQ19" s="671"/>
      <c r="AR19" s="669" t="e">
        <f t="shared" ref="AR19" si="3">SUM(AP19:AQ22)/4</f>
        <v>#DIV/0!</v>
      </c>
    </row>
    <row r="20" spans="2:44" ht="45.4" customHeight="1">
      <c r="B20" s="607" t="s">
        <v>335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0</v>
      </c>
      <c r="AJ20" s="672"/>
      <c r="AK20" s="672"/>
      <c r="AL20" s="672">
        <v>0</v>
      </c>
      <c r="AM20" s="672"/>
      <c r="AN20" s="672"/>
      <c r="AO20" s="672"/>
      <c r="AP20" s="671" t="e">
        <f t="shared" si="2"/>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2"/>
        <v>#DIV/0!</v>
      </c>
      <c r="AQ21" s="671"/>
      <c r="AR21" s="669"/>
    </row>
    <row r="22" spans="2:44" ht="18.9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672"/>
      <c r="AJ22" s="672"/>
      <c r="AK22" s="672"/>
      <c r="AL22" s="672"/>
      <c r="AM22" s="672"/>
      <c r="AN22" s="672"/>
      <c r="AO22" s="672"/>
      <c r="AP22" s="671" t="e">
        <f t="shared" si="2"/>
        <v>#DIV/0!</v>
      </c>
      <c r="AQ22" s="671"/>
      <c r="AR22" s="669"/>
    </row>
    <row r="23" spans="2:44" ht="18.95" customHeight="1">
      <c r="B23" s="633" t="s">
        <v>25</v>
      </c>
      <c r="C23" s="633"/>
      <c r="D23" s="682">
        <f>AL15</f>
        <v>0</v>
      </c>
      <c r="E23" s="683"/>
      <c r="F23" s="684"/>
      <c r="G23" s="685">
        <f>AL16</f>
        <v>0</v>
      </c>
      <c r="H23" s="643"/>
      <c r="I23" s="643"/>
      <c r="J23" s="643"/>
      <c r="K23" s="643"/>
      <c r="L23" s="643"/>
      <c r="M23" s="608"/>
      <c r="N23" s="682">
        <f>AL17</f>
        <v>0</v>
      </c>
      <c r="O23" s="683"/>
      <c r="P23" s="683"/>
      <c r="Q23" s="683"/>
      <c r="R23" s="683"/>
      <c r="S23" s="684"/>
      <c r="T23" s="685">
        <f>AL18</f>
        <v>0</v>
      </c>
      <c r="U23" s="643"/>
      <c r="V23" s="643"/>
      <c r="W23" s="643"/>
      <c r="X23" s="608"/>
      <c r="Z23" s="52"/>
      <c r="AA23" s="52"/>
    </row>
    <row r="24" spans="2:44" ht="18.95" customHeight="1">
      <c r="B24" s="633" t="s">
        <v>26</v>
      </c>
      <c r="C24" s="633"/>
      <c r="D24" s="682">
        <f>AI15</f>
        <v>0</v>
      </c>
      <c r="E24" s="683"/>
      <c r="F24" s="684"/>
      <c r="G24" s="685">
        <f>AI16</f>
        <v>0</v>
      </c>
      <c r="H24" s="643"/>
      <c r="I24" s="643"/>
      <c r="J24" s="643"/>
      <c r="K24" s="643"/>
      <c r="L24" s="643"/>
      <c r="M24" s="608"/>
      <c r="N24" s="682">
        <f>AI17</f>
        <v>0</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8" t="s">
        <v>27</v>
      </c>
      <c r="C26" s="88" t="s">
        <v>28</v>
      </c>
      <c r="D26" s="88" t="s">
        <v>29</v>
      </c>
      <c r="E26" s="88"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89" t="s">
        <v>31</v>
      </c>
      <c r="C27" s="686">
        <f>IF(ISERROR(D23/D24),0,$D$23/$D$24)</f>
        <v>0</v>
      </c>
      <c r="D27" s="686">
        <f>$E$18</f>
        <v>1</v>
      </c>
      <c r="E27" s="99">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89" t="s">
        <v>32</v>
      </c>
      <c r="C28" s="687"/>
      <c r="D28" s="687"/>
      <c r="E28" s="99">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89" t="s">
        <v>33</v>
      </c>
      <c r="C29" s="688"/>
      <c r="D29" s="688"/>
      <c r="E29" s="99">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89" t="s">
        <v>34</v>
      </c>
      <c r="C30" s="686">
        <f>IF(ISERROR(G23/G24),0,G23/G24)</f>
        <v>0</v>
      </c>
      <c r="D30" s="686">
        <f t="shared" ref="D30:D36" si="5">$E$18</f>
        <v>1</v>
      </c>
      <c r="E30" s="99">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89" t="s">
        <v>35</v>
      </c>
      <c r="C31" s="687"/>
      <c r="D31" s="687"/>
      <c r="E31" s="99">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89" t="s">
        <v>36</v>
      </c>
      <c r="C32" s="688"/>
      <c r="D32" s="688"/>
      <c r="E32" s="99">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89" t="s">
        <v>37</v>
      </c>
      <c r="C33" s="686">
        <f>IF(ISERROR(N23/N24),0,T23/T24)</f>
        <v>0</v>
      </c>
      <c r="D33" s="686">
        <f t="shared" si="5"/>
        <v>1</v>
      </c>
      <c r="E33" s="99">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89" t="s">
        <v>38</v>
      </c>
      <c r="C34" s="687"/>
      <c r="D34" s="687"/>
      <c r="E34" s="99">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89" t="s">
        <v>39</v>
      </c>
      <c r="C35" s="688"/>
      <c r="D35" s="688"/>
      <c r="E35" s="99">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89" t="s">
        <v>40</v>
      </c>
      <c r="C36" s="686">
        <f>IF(ISERROR(T23/T24),0,T23/T24)</f>
        <v>0</v>
      </c>
      <c r="D36" s="686">
        <f t="shared" si="5"/>
        <v>1</v>
      </c>
      <c r="E36" s="99">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89" t="s">
        <v>41</v>
      </c>
      <c r="C37" s="687"/>
      <c r="D37" s="687"/>
      <c r="E37" s="99">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89" t="s">
        <v>42</v>
      </c>
      <c r="C38" s="688"/>
      <c r="D38" s="688"/>
      <c r="E38" s="99">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G7:X8</xm:sqref>
        </x14:dataValidation>
        <x14:dataValidation type="list" allowBlank="1" showInputMessage="1" showErrorMessage="1">
          <x14:formula1>
            <xm:f>'C:\Users\lorenar\Downloads\[JURIDICA.xlsx]Hoja1'!#REF!</xm:f>
          </x14:formula1>
          <xm:sqref>C18:D18 G14:J14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tabColor theme="7"/>
    <pageSetUpPr fitToPage="1"/>
  </sheetPr>
  <dimension ref="B1:AR50"/>
  <sheetViews>
    <sheetView zoomScale="80" zoomScaleNormal="80" zoomScaleSheetLayoutView="100" workbookViewId="0">
      <selection activeCell="AY29" sqref="AY29"/>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326</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86"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91</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3</v>
      </c>
      <c r="AJ7" s="673"/>
      <c r="AK7" s="673"/>
      <c r="AL7" s="673">
        <v>3</v>
      </c>
      <c r="AM7" s="673"/>
      <c r="AN7" s="673"/>
      <c r="AO7" s="673"/>
      <c r="AP7" s="674">
        <f t="shared" ref="AP7:AP10" si="0">AL7/AI7</f>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0</v>
      </c>
      <c r="AJ8" s="673"/>
      <c r="AK8" s="673"/>
      <c r="AL8" s="673">
        <v>0</v>
      </c>
      <c r="AM8" s="673"/>
      <c r="AN8" s="673"/>
      <c r="AO8" s="673"/>
      <c r="AP8" s="674">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0</v>
      </c>
      <c r="AJ9" s="673"/>
      <c r="AK9" s="673"/>
      <c r="AL9" s="673">
        <v>0</v>
      </c>
      <c r="AM9" s="673"/>
      <c r="AN9" s="673"/>
      <c r="AO9" s="673"/>
      <c r="AP9" s="674">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1</v>
      </c>
      <c r="AJ10" s="673"/>
      <c r="AK10" s="673"/>
      <c r="AL10" s="673">
        <v>1</v>
      </c>
      <c r="AM10" s="673"/>
      <c r="AN10" s="673"/>
      <c r="AO10" s="673"/>
      <c r="AP10" s="674">
        <f t="shared" si="0"/>
        <v>1</v>
      </c>
      <c r="AQ10" s="674"/>
      <c r="AR10" s="668"/>
    </row>
    <row r="11" spans="2:44" ht="38.25" customHeight="1">
      <c r="B11" s="640" t="s">
        <v>156</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1</v>
      </c>
      <c r="AJ11" s="672"/>
      <c r="AK11" s="672"/>
      <c r="AL11" s="672">
        <v>1</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1</v>
      </c>
      <c r="AJ12" s="672"/>
      <c r="AK12" s="672"/>
      <c r="AL12" s="672">
        <v>1</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1</v>
      </c>
      <c r="AJ13" s="672"/>
      <c r="AK13" s="672"/>
      <c r="AL13" s="672">
        <v>1</v>
      </c>
      <c r="AM13" s="672"/>
      <c r="AN13" s="672"/>
      <c r="AO13" s="672"/>
      <c r="AP13" s="671">
        <f t="shared" si="1"/>
        <v>1</v>
      </c>
      <c r="AQ13" s="671"/>
      <c r="AR13" s="669"/>
    </row>
    <row r="14" spans="2:44" ht="29.25" customHeight="1">
      <c r="B14" s="632" t="s">
        <v>336</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0</v>
      </c>
      <c r="AJ14" s="672"/>
      <c r="AK14" s="672"/>
      <c r="AL14" s="672">
        <v>0</v>
      </c>
      <c r="AM14" s="672"/>
      <c r="AN14" s="672"/>
      <c r="AO14" s="672"/>
      <c r="AP14" s="67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3</v>
      </c>
      <c r="AJ15" s="673"/>
      <c r="AK15" s="673"/>
      <c r="AL15" s="673">
        <v>3</v>
      </c>
      <c r="AM15" s="673"/>
      <c r="AN15" s="673"/>
      <c r="AO15" s="673"/>
      <c r="AP15" s="674">
        <f t="shared" si="1"/>
        <v>1</v>
      </c>
      <c r="AQ15" s="674"/>
      <c r="AR15" s="668">
        <f t="shared" ref="AR15" si="2">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6</v>
      </c>
      <c r="AJ16" s="673"/>
      <c r="AK16" s="673"/>
      <c r="AL16" s="673">
        <v>6</v>
      </c>
      <c r="AM16" s="673"/>
      <c r="AN16" s="673"/>
      <c r="AO16" s="673"/>
      <c r="AP16" s="674">
        <f t="shared" si="1"/>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2</v>
      </c>
      <c r="AJ17" s="673"/>
      <c r="AK17" s="673"/>
      <c r="AL17" s="673">
        <v>2</v>
      </c>
      <c r="AM17" s="673"/>
      <c r="AN17" s="673"/>
      <c r="AO17" s="673"/>
      <c r="AP17" s="674">
        <f t="shared" si="1"/>
        <v>1</v>
      </c>
      <c r="AQ17" s="674"/>
      <c r="AR17" s="668"/>
    </row>
    <row r="18" spans="2:44" ht="28.5" customHeight="1">
      <c r="B18" s="87" t="s">
        <v>188</v>
      </c>
      <c r="C18" s="607" t="s">
        <v>112</v>
      </c>
      <c r="D18" s="608"/>
      <c r="E18" s="644">
        <v>1</v>
      </c>
      <c r="F18" s="644"/>
      <c r="G18" s="632" t="s">
        <v>337</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5</v>
      </c>
      <c r="AJ18" s="673"/>
      <c r="AK18" s="673"/>
      <c r="AL18" s="673">
        <v>5</v>
      </c>
      <c r="AM18" s="673"/>
      <c r="AN18" s="673"/>
      <c r="AO18" s="673"/>
      <c r="AP18" s="674">
        <f t="shared" si="1"/>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4</v>
      </c>
      <c r="AJ19" s="672"/>
      <c r="AK19" s="672"/>
      <c r="AL19" s="672">
        <v>4</v>
      </c>
      <c r="AM19" s="672"/>
      <c r="AN19" s="672"/>
      <c r="AO19" s="672"/>
      <c r="AP19" s="671">
        <f t="shared" si="1"/>
        <v>1</v>
      </c>
      <c r="AQ19" s="671"/>
      <c r="AR19" s="669" t="e">
        <f t="shared" ref="AR19" si="3">SUM(AP19:AQ22)/4</f>
        <v>#DIV/0!</v>
      </c>
    </row>
    <row r="20" spans="2:44" ht="45.4" customHeight="1">
      <c r="B20" s="607" t="s">
        <v>338</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2</v>
      </c>
      <c r="AJ20" s="672"/>
      <c r="AK20" s="672"/>
      <c r="AL20" s="672">
        <v>2</v>
      </c>
      <c r="AM20" s="672"/>
      <c r="AN20" s="672"/>
      <c r="AO20" s="672"/>
      <c r="AP20" s="671">
        <f t="shared" si="1"/>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3</v>
      </c>
      <c r="E23" s="683"/>
      <c r="F23" s="684"/>
      <c r="G23" s="685">
        <f>AL16</f>
        <v>6</v>
      </c>
      <c r="H23" s="643"/>
      <c r="I23" s="643"/>
      <c r="J23" s="643"/>
      <c r="K23" s="643"/>
      <c r="L23" s="643"/>
      <c r="M23" s="608"/>
      <c r="N23" s="682">
        <f>AL17</f>
        <v>2</v>
      </c>
      <c r="O23" s="683"/>
      <c r="P23" s="683"/>
      <c r="Q23" s="683"/>
      <c r="R23" s="683"/>
      <c r="S23" s="684"/>
      <c r="T23" s="685">
        <f>AL18</f>
        <v>5</v>
      </c>
      <c r="U23" s="643"/>
      <c r="V23" s="643"/>
      <c r="W23" s="643"/>
      <c r="X23" s="608"/>
      <c r="Z23" s="52"/>
      <c r="AA23" s="52"/>
    </row>
    <row r="24" spans="2:44" ht="18.95" customHeight="1">
      <c r="B24" s="633" t="s">
        <v>26</v>
      </c>
      <c r="C24" s="633"/>
      <c r="D24" s="682">
        <f>AI15</f>
        <v>3</v>
      </c>
      <c r="E24" s="683"/>
      <c r="F24" s="684"/>
      <c r="G24" s="685">
        <f>AI16</f>
        <v>6</v>
      </c>
      <c r="H24" s="643"/>
      <c r="I24" s="643"/>
      <c r="J24" s="643"/>
      <c r="K24" s="643"/>
      <c r="L24" s="643"/>
      <c r="M24" s="608"/>
      <c r="N24" s="682">
        <f>AI17</f>
        <v>2</v>
      </c>
      <c r="O24" s="683"/>
      <c r="P24" s="683"/>
      <c r="Q24" s="683"/>
      <c r="R24" s="683"/>
      <c r="S24" s="684"/>
      <c r="T24" s="685">
        <f>AI18</f>
        <v>5</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8" t="s">
        <v>27</v>
      </c>
      <c r="C26" s="88" t="s">
        <v>28</v>
      </c>
      <c r="D26" s="88" t="s">
        <v>29</v>
      </c>
      <c r="E26" s="88"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89" t="s">
        <v>31</v>
      </c>
      <c r="C27" s="686">
        <f>IF(ISERROR(D23/D24),0,$D$23/$D$24)</f>
        <v>1</v>
      </c>
      <c r="D27" s="686">
        <f>$E$18</f>
        <v>1</v>
      </c>
      <c r="E27" s="99">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89" t="s">
        <v>32</v>
      </c>
      <c r="C28" s="687"/>
      <c r="D28" s="687"/>
      <c r="E28" s="99">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89" t="s">
        <v>33</v>
      </c>
      <c r="C29" s="688"/>
      <c r="D29" s="688"/>
      <c r="E29" s="99">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89" t="s">
        <v>34</v>
      </c>
      <c r="C30" s="686">
        <f>IF(ISERROR(G23/G24),0,G23/G24)</f>
        <v>1</v>
      </c>
      <c r="D30" s="686">
        <f t="shared" ref="D30:D36" si="5">$E$18</f>
        <v>1</v>
      </c>
      <c r="E30" s="99">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89" t="s">
        <v>35</v>
      </c>
      <c r="C31" s="687"/>
      <c r="D31" s="687"/>
      <c r="E31" s="99">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89" t="s">
        <v>36</v>
      </c>
      <c r="C32" s="688"/>
      <c r="D32" s="688"/>
      <c r="E32" s="99">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89" t="s">
        <v>37</v>
      </c>
      <c r="C33" s="686">
        <f>IF(ISERROR(N23/N24),0,T23/T24)</f>
        <v>1</v>
      </c>
      <c r="D33" s="686">
        <f t="shared" si="5"/>
        <v>1</v>
      </c>
      <c r="E33" s="99">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89" t="s">
        <v>38</v>
      </c>
      <c r="C34" s="687"/>
      <c r="D34" s="687"/>
      <c r="E34" s="99">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89" t="s">
        <v>39</v>
      </c>
      <c r="C35" s="688"/>
      <c r="D35" s="688"/>
      <c r="E35" s="99">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89" t="s">
        <v>40</v>
      </c>
      <c r="C36" s="686">
        <f>IF(ISERROR(T23/T24),0,T23/T24)</f>
        <v>1</v>
      </c>
      <c r="D36" s="686">
        <f t="shared" si="5"/>
        <v>1</v>
      </c>
      <c r="E36" s="99">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89" t="s">
        <v>41</v>
      </c>
      <c r="C37" s="687"/>
      <c r="D37" s="687"/>
      <c r="E37" s="99">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89" t="s">
        <v>42</v>
      </c>
      <c r="C38" s="688"/>
      <c r="D38" s="688"/>
      <c r="E38" s="99">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G14:J14</xm:sqref>
        </x14:dataValidation>
        <x14:dataValidation type="list" allowBlank="1" showInputMessage="1" showErrorMessage="1">
          <x14:formula1>
            <xm:f>'C:\Users\lorenar\Downloads\[JURIDICA.xlsx]Hoja1'!#REF!</xm:f>
          </x14:formula1>
          <xm:sqref>C18:D18 G7:X8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pageSetUpPr fitToPage="1"/>
  </sheetPr>
  <dimension ref="B1:AP50"/>
  <sheetViews>
    <sheetView zoomScale="80" zoomScaleNormal="80" zoomScaleSheetLayoutView="100" workbookViewId="0">
      <selection activeCell="AL20" sqref="AL20:AO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4.75" style="23" customWidth="1"/>
    <col min="13" max="13" width="2.375" style="23" customWidth="1"/>
    <col min="14" max="14" width="13.75" style="23" customWidth="1"/>
    <col min="15" max="15" width="4.5" style="23" customWidth="1"/>
    <col min="16" max="16" width="2" style="23" customWidth="1"/>
    <col min="17" max="17" width="9.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17.5" style="23" customWidth="1"/>
    <col min="25" max="25" width="1.375" style="45" customWidth="1"/>
    <col min="26" max="26" width="3.25" style="46" customWidth="1"/>
    <col min="27" max="27" width="3.75" style="46" customWidth="1"/>
    <col min="28" max="41" width="4.625" style="46"/>
    <col min="42" max="42" width="12.75" style="23" customWidth="1"/>
    <col min="43" max="16384" width="4.625" style="23"/>
  </cols>
  <sheetData>
    <row r="1" spans="2:42"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row>
    <row r="2" spans="2:42"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2"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326</v>
      </c>
      <c r="AC3" s="676"/>
      <c r="AD3" s="676"/>
      <c r="AE3" s="676"/>
      <c r="AF3" s="676"/>
      <c r="AG3" s="676"/>
      <c r="AH3" s="676"/>
      <c r="AI3" s="676"/>
      <c r="AJ3" s="676"/>
      <c r="AK3" s="676"/>
      <c r="AL3" s="676"/>
      <c r="AM3" s="676"/>
      <c r="AN3" s="676"/>
      <c r="AO3" s="676"/>
      <c r="AP3" s="676"/>
    </row>
    <row r="4" spans="2:42"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row>
    <row r="5" spans="2:42" s="41" customFormat="1" ht="14.25" customHeight="1">
      <c r="B5" s="289"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481</v>
      </c>
      <c r="AJ5" s="675"/>
      <c r="AK5" s="675"/>
      <c r="AL5" s="675" t="s">
        <v>480</v>
      </c>
      <c r="AM5" s="675"/>
      <c r="AN5" s="675"/>
      <c r="AO5" s="675"/>
      <c r="AP5" s="678" t="s">
        <v>150</v>
      </c>
    </row>
    <row r="6" spans="2:42"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8"/>
    </row>
    <row r="7" spans="2:42" ht="14.25" customHeight="1">
      <c r="B7" s="645" t="s">
        <v>76</v>
      </c>
      <c r="C7" s="646"/>
      <c r="D7" s="646"/>
      <c r="E7" s="646"/>
      <c r="F7" s="647"/>
      <c r="G7" s="651" t="s">
        <v>91</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95"/>
      <c r="AJ7" s="696"/>
      <c r="AK7" s="697"/>
      <c r="AL7" s="695"/>
      <c r="AM7" s="696"/>
      <c r="AN7" s="696"/>
      <c r="AO7" s="697"/>
      <c r="AP7" s="668" t="e">
        <f>((AL7)/(AI7))*(100)</f>
        <v>#DIV/0!</v>
      </c>
    </row>
    <row r="8" spans="2:42"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98"/>
      <c r="AJ8" s="699"/>
      <c r="AK8" s="700"/>
      <c r="AL8" s="698"/>
      <c r="AM8" s="699"/>
      <c r="AN8" s="699"/>
      <c r="AO8" s="700"/>
      <c r="AP8" s="668"/>
    </row>
    <row r="9" spans="2:42"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98"/>
      <c r="AJ9" s="699"/>
      <c r="AK9" s="700"/>
      <c r="AL9" s="698"/>
      <c r="AM9" s="699"/>
      <c r="AN9" s="699"/>
      <c r="AO9" s="700"/>
      <c r="AP9" s="668"/>
    </row>
    <row r="10" spans="2:42"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01"/>
      <c r="AJ10" s="702"/>
      <c r="AK10" s="703"/>
      <c r="AL10" s="701"/>
      <c r="AM10" s="702"/>
      <c r="AN10" s="702"/>
      <c r="AO10" s="703"/>
      <c r="AP10" s="668"/>
    </row>
    <row r="11" spans="2:42" ht="38.25" customHeight="1">
      <c r="B11" s="640" t="s">
        <v>470</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c r="AJ11" s="672"/>
      <c r="AK11" s="672"/>
      <c r="AL11" s="672"/>
      <c r="AM11" s="672"/>
      <c r="AN11" s="672"/>
      <c r="AO11" s="672"/>
      <c r="AP11" s="669" t="e">
        <f>((AL11)/(AI11))*(100)</f>
        <v>#DIV/0!</v>
      </c>
    </row>
    <row r="12" spans="2:42"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c r="AJ12" s="672"/>
      <c r="AK12" s="672"/>
      <c r="AL12" s="672"/>
      <c r="AM12" s="672"/>
      <c r="AN12" s="672"/>
      <c r="AO12" s="672"/>
      <c r="AP12" s="669"/>
    </row>
    <row r="13" spans="2:42"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c r="AJ13" s="672"/>
      <c r="AK13" s="672"/>
      <c r="AL13" s="672"/>
      <c r="AM13" s="672"/>
      <c r="AN13" s="672"/>
      <c r="AO13" s="672"/>
      <c r="AP13" s="669"/>
    </row>
    <row r="14" spans="2:42" ht="78" customHeight="1">
      <c r="B14" s="632" t="s">
        <v>471</v>
      </c>
      <c r="C14" s="632"/>
      <c r="D14" s="632"/>
      <c r="E14" s="632"/>
      <c r="F14" s="632"/>
      <c r="G14" s="733" t="s">
        <v>482</v>
      </c>
      <c r="H14" s="734"/>
      <c r="I14" s="734"/>
      <c r="J14" s="735"/>
      <c r="K14" s="644" t="s">
        <v>478</v>
      </c>
      <c r="L14" s="644"/>
      <c r="M14" s="644"/>
      <c r="N14" s="644"/>
      <c r="O14" s="635">
        <v>0.3</v>
      </c>
      <c r="P14" s="636"/>
      <c r="Q14" s="636"/>
      <c r="R14" s="637"/>
      <c r="S14" s="591">
        <v>44561</v>
      </c>
      <c r="T14" s="592"/>
      <c r="U14" s="593"/>
      <c r="V14" s="594">
        <v>2021</v>
      </c>
      <c r="W14" s="594"/>
      <c r="X14" s="594"/>
      <c r="AB14" s="679"/>
      <c r="AC14" s="679"/>
      <c r="AD14" s="681" t="s">
        <v>134</v>
      </c>
      <c r="AE14" s="681"/>
      <c r="AF14" s="681"/>
      <c r="AG14" s="681"/>
      <c r="AH14" s="681"/>
      <c r="AI14" s="729"/>
      <c r="AJ14" s="729"/>
      <c r="AK14" s="729"/>
      <c r="AL14" s="729"/>
      <c r="AM14" s="729"/>
      <c r="AN14" s="729"/>
      <c r="AO14" s="729"/>
      <c r="AP14" s="669"/>
    </row>
    <row r="15" spans="2:42"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736">
        <v>2021</v>
      </c>
      <c r="AC15" s="737"/>
      <c r="AD15" s="712" t="s">
        <v>135</v>
      </c>
      <c r="AE15" s="713"/>
      <c r="AF15" s="713"/>
      <c r="AG15" s="713"/>
      <c r="AH15" s="714"/>
      <c r="AI15" s="730"/>
      <c r="AJ15" s="731"/>
      <c r="AK15" s="732"/>
      <c r="AL15" s="730"/>
      <c r="AM15" s="731"/>
      <c r="AN15" s="731"/>
      <c r="AO15" s="732"/>
      <c r="AP15" s="668" t="e">
        <f>((AL15)/(AI15))*(100)</f>
        <v>#DIV/0!</v>
      </c>
    </row>
    <row r="16" spans="2:42"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738"/>
      <c r="AC16" s="739"/>
      <c r="AD16" s="712" t="s">
        <v>136</v>
      </c>
      <c r="AE16" s="713"/>
      <c r="AF16" s="713"/>
      <c r="AG16" s="713"/>
      <c r="AH16" s="714"/>
      <c r="AI16" s="730"/>
      <c r="AJ16" s="731"/>
      <c r="AK16" s="732"/>
      <c r="AL16" s="730"/>
      <c r="AM16" s="731"/>
      <c r="AN16" s="731"/>
      <c r="AO16" s="732"/>
      <c r="AP16" s="668"/>
    </row>
    <row r="17" spans="2:42" ht="12.75" customHeight="1">
      <c r="B17" s="664"/>
      <c r="C17" s="660"/>
      <c r="D17" s="662"/>
      <c r="E17" s="660"/>
      <c r="F17" s="662"/>
      <c r="G17" s="660"/>
      <c r="H17" s="661"/>
      <c r="I17" s="661"/>
      <c r="J17" s="661"/>
      <c r="K17" s="661"/>
      <c r="L17" s="662"/>
      <c r="M17" s="665" t="s">
        <v>474</v>
      </c>
      <c r="N17" s="665"/>
      <c r="O17" s="639" t="s">
        <v>473</v>
      </c>
      <c r="P17" s="639"/>
      <c r="Q17" s="642"/>
      <c r="R17" s="638" t="s">
        <v>122</v>
      </c>
      <c r="S17" s="639"/>
      <c r="T17" s="639"/>
      <c r="U17" s="639"/>
      <c r="V17" s="665" t="s">
        <v>117</v>
      </c>
      <c r="W17" s="665"/>
      <c r="X17" s="665"/>
      <c r="AB17" s="738"/>
      <c r="AC17" s="739"/>
      <c r="AD17" s="712" t="s">
        <v>137</v>
      </c>
      <c r="AE17" s="713"/>
      <c r="AF17" s="713"/>
      <c r="AG17" s="713"/>
      <c r="AH17" s="714"/>
      <c r="AI17" s="730"/>
      <c r="AJ17" s="731"/>
      <c r="AK17" s="732"/>
      <c r="AL17" s="730"/>
      <c r="AM17" s="731"/>
      <c r="AN17" s="731"/>
      <c r="AO17" s="732"/>
      <c r="AP17" s="668"/>
    </row>
    <row r="18" spans="2:42" ht="28.5" customHeight="1">
      <c r="B18" s="290" t="s">
        <v>188</v>
      </c>
      <c r="C18" s="717" t="s">
        <v>479</v>
      </c>
      <c r="D18" s="717"/>
      <c r="E18" s="644" t="s">
        <v>472</v>
      </c>
      <c r="F18" s="644"/>
      <c r="G18" s="632" t="s">
        <v>337</v>
      </c>
      <c r="H18" s="632"/>
      <c r="I18" s="632"/>
      <c r="J18" s="632"/>
      <c r="K18" s="632"/>
      <c r="L18" s="632"/>
      <c r="M18" s="724" t="s">
        <v>475</v>
      </c>
      <c r="N18" s="725"/>
      <c r="O18" s="726" t="s">
        <v>476</v>
      </c>
      <c r="P18" s="727"/>
      <c r="Q18" s="728"/>
      <c r="R18" s="596" t="s">
        <v>477</v>
      </c>
      <c r="S18" s="596"/>
      <c r="T18" s="596"/>
      <c r="U18" s="596"/>
      <c r="V18" s="597" t="s">
        <v>472</v>
      </c>
      <c r="W18" s="597"/>
      <c r="X18" s="597"/>
      <c r="AB18" s="740"/>
      <c r="AC18" s="741"/>
      <c r="AD18" s="712" t="s">
        <v>138</v>
      </c>
      <c r="AE18" s="713"/>
      <c r="AF18" s="713"/>
      <c r="AG18" s="713"/>
      <c r="AH18" s="714"/>
      <c r="AI18" s="730"/>
      <c r="AJ18" s="731"/>
      <c r="AK18" s="732"/>
      <c r="AL18" s="730"/>
      <c r="AM18" s="731"/>
      <c r="AN18" s="731"/>
      <c r="AO18" s="732"/>
      <c r="AP18" s="668"/>
    </row>
    <row r="19" spans="2:42"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721"/>
      <c r="AJ19" s="722"/>
      <c r="AK19" s="723"/>
      <c r="AL19" s="721"/>
      <c r="AM19" s="722"/>
      <c r="AN19" s="722"/>
      <c r="AO19" s="723"/>
      <c r="AP19" s="669" t="e">
        <f>((AL19)/(AI19))*(100)</f>
        <v>#DIV/0!</v>
      </c>
    </row>
    <row r="20" spans="2:42" ht="45.4" customHeight="1">
      <c r="B20" s="607" t="s">
        <v>338</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721"/>
      <c r="AJ20" s="722"/>
      <c r="AK20" s="723"/>
      <c r="AL20" s="721"/>
      <c r="AM20" s="722"/>
      <c r="AN20" s="722"/>
      <c r="AO20" s="723"/>
      <c r="AP20" s="669"/>
    </row>
    <row r="21" spans="2:42"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721"/>
      <c r="AJ21" s="722"/>
      <c r="AK21" s="723"/>
      <c r="AL21" s="721"/>
      <c r="AM21" s="722"/>
      <c r="AN21" s="722"/>
      <c r="AO21" s="723"/>
      <c r="AP21" s="669"/>
    </row>
    <row r="22" spans="2:42" ht="18.95" customHeight="1">
      <c r="B22" s="633" t="s">
        <v>12</v>
      </c>
      <c r="C22" s="633"/>
      <c r="D22" s="291" t="s">
        <v>13</v>
      </c>
      <c r="E22" s="291" t="s">
        <v>14</v>
      </c>
      <c r="F22" s="291" t="s">
        <v>15</v>
      </c>
      <c r="G22" s="641" t="s">
        <v>16</v>
      </c>
      <c r="H22" s="641"/>
      <c r="I22" s="641"/>
      <c r="J22" s="291" t="s">
        <v>17</v>
      </c>
      <c r="K22" s="641" t="s">
        <v>18</v>
      </c>
      <c r="L22" s="641"/>
      <c r="M22" s="641"/>
      <c r="N22" s="291" t="s">
        <v>19</v>
      </c>
      <c r="O22" s="641" t="s">
        <v>20</v>
      </c>
      <c r="P22" s="641"/>
      <c r="Q22" s="641" t="s">
        <v>21</v>
      </c>
      <c r="R22" s="641"/>
      <c r="S22" s="641"/>
      <c r="T22" s="641" t="s">
        <v>22</v>
      </c>
      <c r="U22" s="641"/>
      <c r="V22" s="641" t="s">
        <v>23</v>
      </c>
      <c r="W22" s="641"/>
      <c r="X22" s="291" t="s">
        <v>24</v>
      </c>
      <c r="AB22" s="679"/>
      <c r="AC22" s="679"/>
      <c r="AD22" s="681" t="s">
        <v>142</v>
      </c>
      <c r="AE22" s="681"/>
      <c r="AF22" s="681"/>
      <c r="AG22" s="681"/>
      <c r="AH22" s="681"/>
      <c r="AI22" s="721"/>
      <c r="AJ22" s="722"/>
      <c r="AK22" s="723"/>
      <c r="AL22" s="721"/>
      <c r="AM22" s="722"/>
      <c r="AN22" s="722"/>
      <c r="AO22" s="723"/>
      <c r="AP22" s="669"/>
    </row>
    <row r="23" spans="2:42" ht="18.95" customHeight="1">
      <c r="B23" s="633" t="s">
        <v>25</v>
      </c>
      <c r="C23" s="633"/>
      <c r="D23" s="682">
        <f>AL15</f>
        <v>0</v>
      </c>
      <c r="E23" s="715"/>
      <c r="F23" s="715"/>
      <c r="G23" s="715"/>
      <c r="H23" s="715"/>
      <c r="I23" s="715"/>
      <c r="J23" s="715"/>
      <c r="K23" s="715"/>
      <c r="L23" s="715"/>
      <c r="M23" s="715"/>
      <c r="N23" s="715"/>
      <c r="O23" s="715"/>
      <c r="P23" s="715"/>
      <c r="Q23" s="715"/>
      <c r="R23" s="715"/>
      <c r="S23" s="715"/>
      <c r="T23" s="715"/>
      <c r="U23" s="715"/>
      <c r="V23" s="715"/>
      <c r="W23" s="715"/>
      <c r="X23" s="716"/>
      <c r="Z23" s="52"/>
      <c r="AA23" s="52"/>
    </row>
    <row r="24" spans="2:42" ht="18.95" customHeight="1">
      <c r="B24" s="633" t="s">
        <v>26</v>
      </c>
      <c r="C24" s="633"/>
      <c r="D24" s="682">
        <f>AI15</f>
        <v>0</v>
      </c>
      <c r="E24" s="715"/>
      <c r="F24" s="715"/>
      <c r="G24" s="715"/>
      <c r="H24" s="715"/>
      <c r="I24" s="715"/>
      <c r="J24" s="715"/>
      <c r="K24" s="715"/>
      <c r="L24" s="715"/>
      <c r="M24" s="715"/>
      <c r="N24" s="715"/>
      <c r="O24" s="715"/>
      <c r="P24" s="715"/>
      <c r="Q24" s="715"/>
      <c r="R24" s="715"/>
      <c r="S24" s="715"/>
      <c r="T24" s="715"/>
      <c r="U24" s="715"/>
      <c r="V24" s="715"/>
      <c r="W24" s="715"/>
      <c r="X24" s="716"/>
      <c r="Y24" s="53"/>
    </row>
    <row r="25" spans="2:42"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2" ht="25.5">
      <c r="B26" s="291" t="s">
        <v>27</v>
      </c>
      <c r="C26" s="291" t="s">
        <v>28</v>
      </c>
      <c r="D26" s="291" t="s">
        <v>29</v>
      </c>
      <c r="E26" s="291" t="s">
        <v>30</v>
      </c>
      <c r="F26" s="27"/>
      <c r="G26" s="27"/>
      <c r="H26" s="601"/>
      <c r="I26" s="601"/>
      <c r="J26" s="601"/>
      <c r="K26" s="601"/>
      <c r="L26" s="601"/>
      <c r="M26" s="601"/>
      <c r="N26" s="601"/>
      <c r="O26" s="601"/>
      <c r="P26" s="601"/>
      <c r="Q26" s="601"/>
      <c r="R26" s="601"/>
      <c r="S26" s="627"/>
      <c r="T26" s="627"/>
      <c r="U26" s="627"/>
      <c r="V26" s="627"/>
      <c r="W26" s="627"/>
      <c r="X26" s="623"/>
    </row>
    <row r="27" spans="2:42" ht="17.649999999999999" customHeight="1">
      <c r="B27" s="293" t="s">
        <v>31</v>
      </c>
      <c r="C27" s="686">
        <f>IF(ISERROR(D23/D24),0,$D$23/$D$24)</f>
        <v>0</v>
      </c>
      <c r="D27" s="718">
        <v>0.3</v>
      </c>
      <c r="E27" s="292">
        <f>$O$14</f>
        <v>0.3</v>
      </c>
      <c r="F27" s="28"/>
      <c r="G27" s="28"/>
      <c r="H27" s="602"/>
      <c r="I27" s="602"/>
      <c r="J27" s="590"/>
      <c r="K27" s="590"/>
      <c r="L27" s="5"/>
      <c r="M27" s="5"/>
      <c r="N27" s="602"/>
      <c r="O27" s="602"/>
      <c r="P27" s="602"/>
      <c r="Q27" s="602"/>
      <c r="R27" s="602"/>
      <c r="S27" s="628"/>
      <c r="T27" s="628"/>
      <c r="U27" s="628"/>
      <c r="V27" s="628"/>
      <c r="W27" s="628"/>
      <c r="X27" s="629"/>
    </row>
    <row r="28" spans="2:42" ht="17.649999999999999" customHeight="1">
      <c r="B28" s="293" t="s">
        <v>32</v>
      </c>
      <c r="C28" s="687"/>
      <c r="D28" s="719"/>
      <c r="E28" s="292">
        <f t="shared" ref="E28:E37" si="0">$O$14</f>
        <v>0.3</v>
      </c>
      <c r="F28" s="28"/>
      <c r="G28" s="28"/>
      <c r="H28" s="590"/>
      <c r="I28" s="590"/>
      <c r="J28" s="590"/>
      <c r="K28" s="590"/>
      <c r="L28" s="6"/>
      <c r="M28" s="5"/>
      <c r="N28" s="590"/>
      <c r="O28" s="590"/>
      <c r="P28" s="590"/>
      <c r="Q28" s="590"/>
      <c r="R28" s="590"/>
      <c r="S28" s="628"/>
      <c r="T28" s="628"/>
      <c r="U28" s="628"/>
      <c r="V28" s="628"/>
      <c r="W28" s="628"/>
      <c r="X28" s="629"/>
    </row>
    <row r="29" spans="2:42" ht="17.649999999999999" customHeight="1">
      <c r="B29" s="293" t="s">
        <v>33</v>
      </c>
      <c r="C29" s="687"/>
      <c r="D29" s="719"/>
      <c r="E29" s="292">
        <f t="shared" si="0"/>
        <v>0.3</v>
      </c>
      <c r="F29" s="28"/>
      <c r="G29" s="28"/>
      <c r="H29" s="590"/>
      <c r="I29" s="590"/>
      <c r="J29" s="590"/>
      <c r="K29" s="590"/>
      <c r="L29" s="6"/>
      <c r="M29" s="5"/>
      <c r="N29" s="590"/>
      <c r="O29" s="590"/>
      <c r="P29" s="590"/>
      <c r="Q29" s="590"/>
      <c r="R29" s="590"/>
      <c r="S29" s="628"/>
      <c r="T29" s="628"/>
      <c r="U29" s="628"/>
      <c r="V29" s="628"/>
      <c r="W29" s="628"/>
      <c r="X29" s="629"/>
    </row>
    <row r="30" spans="2:42" ht="17.649999999999999" customHeight="1">
      <c r="B30" s="293" t="s">
        <v>34</v>
      </c>
      <c r="C30" s="687"/>
      <c r="D30" s="719"/>
      <c r="E30" s="292">
        <f t="shared" si="0"/>
        <v>0.3</v>
      </c>
      <c r="F30" s="28"/>
      <c r="G30" s="28"/>
      <c r="H30" s="590"/>
      <c r="I30" s="590"/>
      <c r="J30" s="590"/>
      <c r="K30" s="590"/>
      <c r="L30" s="6"/>
      <c r="M30" s="5"/>
      <c r="N30" s="590"/>
      <c r="O30" s="590"/>
      <c r="P30" s="590"/>
      <c r="Q30" s="590"/>
      <c r="R30" s="590"/>
      <c r="S30" s="628"/>
      <c r="T30" s="628"/>
      <c r="U30" s="628"/>
      <c r="V30" s="628"/>
      <c r="W30" s="628"/>
      <c r="X30" s="629"/>
    </row>
    <row r="31" spans="2:42" ht="17.649999999999999" customHeight="1">
      <c r="B31" s="293" t="s">
        <v>35</v>
      </c>
      <c r="C31" s="687"/>
      <c r="D31" s="719"/>
      <c r="E31" s="292">
        <f t="shared" si="0"/>
        <v>0.3</v>
      </c>
      <c r="F31" s="28"/>
      <c r="G31" s="28"/>
      <c r="H31" s="590"/>
      <c r="I31" s="590"/>
      <c r="J31" s="590"/>
      <c r="K31" s="590"/>
      <c r="L31" s="6"/>
      <c r="M31" s="5"/>
      <c r="N31" s="590"/>
      <c r="O31" s="590"/>
      <c r="P31" s="590"/>
      <c r="Q31" s="590"/>
      <c r="R31" s="590"/>
      <c r="S31" s="628"/>
      <c r="T31" s="628"/>
      <c r="U31" s="628"/>
      <c r="V31" s="628"/>
      <c r="W31" s="628"/>
      <c r="X31" s="629"/>
    </row>
    <row r="32" spans="2:42" ht="17.649999999999999" customHeight="1">
      <c r="B32" s="293" t="s">
        <v>36</v>
      </c>
      <c r="C32" s="687"/>
      <c r="D32" s="719"/>
      <c r="E32" s="292">
        <f t="shared" si="0"/>
        <v>0.3</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293" t="s">
        <v>37</v>
      </c>
      <c r="C33" s="687"/>
      <c r="D33" s="719"/>
      <c r="E33" s="292">
        <f t="shared" si="0"/>
        <v>0.3</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293" t="s">
        <v>38</v>
      </c>
      <c r="C34" s="687"/>
      <c r="D34" s="719"/>
      <c r="E34" s="292">
        <f t="shared" si="0"/>
        <v>0.3</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293" t="s">
        <v>39</v>
      </c>
      <c r="C35" s="687"/>
      <c r="D35" s="719"/>
      <c r="E35" s="292">
        <f t="shared" si="0"/>
        <v>0.3</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293" t="s">
        <v>40</v>
      </c>
      <c r="C36" s="687"/>
      <c r="D36" s="719"/>
      <c r="E36" s="292">
        <f t="shared" si="0"/>
        <v>0.3</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293" t="s">
        <v>41</v>
      </c>
      <c r="C37" s="687"/>
      <c r="D37" s="719"/>
      <c r="E37" s="292">
        <f t="shared" si="0"/>
        <v>0.3</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293" t="s">
        <v>42</v>
      </c>
      <c r="C38" s="688"/>
      <c r="D38" s="720"/>
      <c r="E38" s="2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88">
    <mergeCell ref="AI18:AK18"/>
    <mergeCell ref="AI17:AK17"/>
    <mergeCell ref="AI16:AK16"/>
    <mergeCell ref="AI15:AK15"/>
    <mergeCell ref="S5:V5"/>
    <mergeCell ref="W5:X5"/>
    <mergeCell ref="AB5:AC6"/>
    <mergeCell ref="AD5:AH6"/>
    <mergeCell ref="AI5:AK6"/>
    <mergeCell ref="B10:X10"/>
    <mergeCell ref="AD10:AH10"/>
    <mergeCell ref="B11:X11"/>
    <mergeCell ref="AB11:AC14"/>
    <mergeCell ref="AD11:AH11"/>
    <mergeCell ref="AD18:AH18"/>
    <mergeCell ref="R18:U18"/>
    <mergeCell ref="V18:X18"/>
    <mergeCell ref="O17:Q17"/>
    <mergeCell ref="M17:N17"/>
    <mergeCell ref="AD17:AH17"/>
    <mergeCell ref="AB15:AC18"/>
    <mergeCell ref="AD15:AH15"/>
    <mergeCell ref="R17:U17"/>
    <mergeCell ref="V17:X17"/>
    <mergeCell ref="B1:T1"/>
    <mergeCell ref="U1:X4"/>
    <mergeCell ref="AB1:AP1"/>
    <mergeCell ref="B2:T4"/>
    <mergeCell ref="AB3:AP4"/>
    <mergeCell ref="C5:D5"/>
    <mergeCell ref="E5:G5"/>
    <mergeCell ref="H5:J5"/>
    <mergeCell ref="K5:N5"/>
    <mergeCell ref="O5:R5"/>
    <mergeCell ref="AP5:AP6"/>
    <mergeCell ref="B6:X6"/>
    <mergeCell ref="AL5:AO6"/>
    <mergeCell ref="AP7:AP10"/>
    <mergeCell ref="AD8:AH8"/>
    <mergeCell ref="B9:X9"/>
    <mergeCell ref="AD9:AH9"/>
    <mergeCell ref="B14:F14"/>
    <mergeCell ref="G14:J14"/>
    <mergeCell ref="K14:N14"/>
    <mergeCell ref="O14:R14"/>
    <mergeCell ref="S14:U14"/>
    <mergeCell ref="V14:X14"/>
    <mergeCell ref="AD14:AH14"/>
    <mergeCell ref="O13:R13"/>
    <mergeCell ref="S13:U13"/>
    <mergeCell ref="AD7:AH7"/>
    <mergeCell ref="AB7:AC10"/>
    <mergeCell ref="AI7:AK10"/>
    <mergeCell ref="AL7:AO10"/>
    <mergeCell ref="AL14:AO14"/>
    <mergeCell ref="AL12:AO12"/>
    <mergeCell ref="V13:X13"/>
    <mergeCell ref="AD13:AH13"/>
    <mergeCell ref="B7:F8"/>
    <mergeCell ref="G7:X8"/>
    <mergeCell ref="AP15:AP18"/>
    <mergeCell ref="B16:B17"/>
    <mergeCell ref="C16:D17"/>
    <mergeCell ref="E16:F17"/>
    <mergeCell ref="G16:L17"/>
    <mergeCell ref="M16:X16"/>
    <mergeCell ref="M18:N18"/>
    <mergeCell ref="O18:Q18"/>
    <mergeCell ref="AP11:AP14"/>
    <mergeCell ref="B12:F13"/>
    <mergeCell ref="G12:J13"/>
    <mergeCell ref="K12:N13"/>
    <mergeCell ref="O12:X12"/>
    <mergeCell ref="AD12:AH12"/>
    <mergeCell ref="AL13:AO13"/>
    <mergeCell ref="AL11:AO11"/>
    <mergeCell ref="AI14:AK14"/>
    <mergeCell ref="AI13:AK13"/>
    <mergeCell ref="AI12:AK12"/>
    <mergeCell ref="AI11:AK11"/>
    <mergeCell ref="AL18:AO18"/>
    <mergeCell ref="AL17:AO17"/>
    <mergeCell ref="AL16:AO16"/>
    <mergeCell ref="AL15:AO15"/>
    <mergeCell ref="V22:W22"/>
    <mergeCell ref="AP19:AP22"/>
    <mergeCell ref="B20:L20"/>
    <mergeCell ref="M20:X20"/>
    <mergeCell ref="AD20:AH20"/>
    <mergeCell ref="B21:X21"/>
    <mergeCell ref="AD21:AH21"/>
    <mergeCell ref="AL22:AO22"/>
    <mergeCell ref="AL21:AO21"/>
    <mergeCell ref="AL20:AO20"/>
    <mergeCell ref="AL19:AO19"/>
    <mergeCell ref="AI22:AK22"/>
    <mergeCell ref="AI21:AK21"/>
    <mergeCell ref="AI20:AK20"/>
    <mergeCell ref="AI19:AK19"/>
    <mergeCell ref="B19:L19"/>
    <mergeCell ref="M19:X19"/>
    <mergeCell ref="AB19:AC22"/>
    <mergeCell ref="H30:I30"/>
    <mergeCell ref="J30:K30"/>
    <mergeCell ref="N30:O30"/>
    <mergeCell ref="P30:R30"/>
    <mergeCell ref="H31:I31"/>
    <mergeCell ref="J31:K31"/>
    <mergeCell ref="N31:O31"/>
    <mergeCell ref="P31:R31"/>
    <mergeCell ref="J28:K28"/>
    <mergeCell ref="N28:O28"/>
    <mergeCell ref="P28:R28"/>
    <mergeCell ref="H29:I29"/>
    <mergeCell ref="J29:K29"/>
    <mergeCell ref="N29:O29"/>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27:C38"/>
    <mergeCell ref="D27:D38"/>
    <mergeCell ref="P29:R29"/>
    <mergeCell ref="P35:R35"/>
    <mergeCell ref="H32:I32"/>
    <mergeCell ref="J32:K32"/>
    <mergeCell ref="N32:O32"/>
    <mergeCell ref="P32:R32"/>
    <mergeCell ref="H33:I33"/>
    <mergeCell ref="J33:K33"/>
    <mergeCell ref="B46:H46"/>
    <mergeCell ref="L46:M46"/>
    <mergeCell ref="Q46:R46"/>
    <mergeCell ref="I47:X47"/>
    <mergeCell ref="B48:X48"/>
    <mergeCell ref="H36:I36"/>
    <mergeCell ref="J36:K36"/>
    <mergeCell ref="N36:O36"/>
    <mergeCell ref="P36:R36"/>
    <mergeCell ref="H37:I37"/>
    <mergeCell ref="J37:K37"/>
    <mergeCell ref="N37:O37"/>
    <mergeCell ref="P37:R37"/>
    <mergeCell ref="S27:X38"/>
    <mergeCell ref="H28:I28"/>
    <mergeCell ref="H34:I34"/>
    <mergeCell ref="J34:K34"/>
    <mergeCell ref="N34:O34"/>
    <mergeCell ref="P34:R34"/>
    <mergeCell ref="H35:I35"/>
    <mergeCell ref="J35:K35"/>
    <mergeCell ref="N35:O35"/>
    <mergeCell ref="N33:O33"/>
    <mergeCell ref="P33:R33"/>
    <mergeCell ref="AD16:AH16"/>
    <mergeCell ref="B15:X15"/>
    <mergeCell ref="B24:C24"/>
    <mergeCell ref="B25:X25"/>
    <mergeCell ref="D24:X24"/>
    <mergeCell ref="H26:I27"/>
    <mergeCell ref="B23:C23"/>
    <mergeCell ref="D23:X23"/>
    <mergeCell ref="C18:D18"/>
    <mergeCell ref="E18:F18"/>
    <mergeCell ref="G18:L18"/>
    <mergeCell ref="AD19:AH19"/>
    <mergeCell ref="J26:M26"/>
    <mergeCell ref="N26:O27"/>
    <mergeCell ref="P26:R27"/>
    <mergeCell ref="S26:X26"/>
    <mergeCell ref="J27:K27"/>
    <mergeCell ref="AD22:AH22"/>
    <mergeCell ref="B22:C22"/>
    <mergeCell ref="G22:I22"/>
    <mergeCell ref="K22:M22"/>
    <mergeCell ref="O22:P22"/>
    <mergeCell ref="Q22:S22"/>
    <mergeCell ref="T22:U22"/>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'C:\Users\lorenar\Downloads\[JURIDICA.xlsx]Hoja1'!#REF!</xm:f>
          </x14:formula1>
          <xm:sqref>G7:X8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theme="8"/>
    <pageSetUpPr fitToPage="1"/>
  </sheetPr>
  <dimension ref="B1:AR50"/>
  <sheetViews>
    <sheetView zoomScale="80" zoomScaleNormal="80" zoomScaleSheetLayoutView="100" workbookViewId="0">
      <selection activeCell="AK23" sqref="AK23"/>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78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95">
        <v>14</v>
      </c>
      <c r="AJ7" s="696"/>
      <c r="AK7" s="697"/>
      <c r="AL7" s="695">
        <v>14</v>
      </c>
      <c r="AM7" s="696"/>
      <c r="AN7" s="696"/>
      <c r="AO7" s="697"/>
      <c r="AP7" s="705">
        <f t="shared" ref="AP7:AP10" si="0">AL7/AI7</f>
        <v>1</v>
      </c>
      <c r="AQ7" s="706"/>
      <c r="AR7" s="668">
        <f>SUM(AP7)</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98">
        <v>0</v>
      </c>
      <c r="AJ8" s="699"/>
      <c r="AK8" s="700"/>
      <c r="AL8" s="698">
        <v>0</v>
      </c>
      <c r="AM8" s="699"/>
      <c r="AN8" s="699"/>
      <c r="AO8" s="700"/>
      <c r="AP8" s="707" t="e">
        <f t="shared" si="0"/>
        <v>#DIV/0!</v>
      </c>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98">
        <v>0</v>
      </c>
      <c r="AJ9" s="699"/>
      <c r="AK9" s="700"/>
      <c r="AL9" s="698">
        <v>0</v>
      </c>
      <c r="AM9" s="699"/>
      <c r="AN9" s="699"/>
      <c r="AO9" s="700"/>
      <c r="AP9" s="707" t="e">
        <f t="shared" si="0"/>
        <v>#DIV/0!</v>
      </c>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01">
        <v>14</v>
      </c>
      <c r="AJ10" s="702"/>
      <c r="AK10" s="703"/>
      <c r="AL10" s="701">
        <v>14</v>
      </c>
      <c r="AM10" s="702"/>
      <c r="AN10" s="702"/>
      <c r="AO10" s="703"/>
      <c r="AP10" s="709">
        <f t="shared" si="0"/>
        <v>1</v>
      </c>
      <c r="AQ10" s="710"/>
      <c r="AR10" s="668"/>
    </row>
    <row r="11" spans="2:44" ht="38.25" customHeight="1">
      <c r="B11" s="640" t="s">
        <v>157</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742">
        <v>100</v>
      </c>
      <c r="AJ11" s="743"/>
      <c r="AK11" s="744"/>
      <c r="AL11" s="742">
        <v>100</v>
      </c>
      <c r="AM11" s="743"/>
      <c r="AN11" s="743"/>
      <c r="AO11" s="744"/>
      <c r="AP11" s="751">
        <f>AL11/AI11</f>
        <v>1</v>
      </c>
      <c r="AQ11" s="752"/>
      <c r="AR11" s="669">
        <f>SUM(AP11:AQ14)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745"/>
      <c r="AJ12" s="746"/>
      <c r="AK12" s="747"/>
      <c r="AL12" s="745"/>
      <c r="AM12" s="746"/>
      <c r="AN12" s="746"/>
      <c r="AO12" s="747"/>
      <c r="AP12" s="753"/>
      <c r="AQ12" s="754"/>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745"/>
      <c r="AJ13" s="746"/>
      <c r="AK13" s="747"/>
      <c r="AL13" s="745"/>
      <c r="AM13" s="746"/>
      <c r="AN13" s="746"/>
      <c r="AO13" s="747"/>
      <c r="AP13" s="753"/>
      <c r="AQ13" s="754"/>
      <c r="AR13" s="669"/>
    </row>
    <row r="14" spans="2:44" ht="101.25" customHeight="1">
      <c r="B14" s="632" t="s">
        <v>414</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748"/>
      <c r="AJ14" s="749"/>
      <c r="AK14" s="750"/>
      <c r="AL14" s="748"/>
      <c r="AM14" s="749"/>
      <c r="AN14" s="749"/>
      <c r="AO14" s="750"/>
      <c r="AP14" s="755"/>
      <c r="AQ14" s="756"/>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95">
        <v>100</v>
      </c>
      <c r="AJ15" s="696"/>
      <c r="AK15" s="697"/>
      <c r="AL15" s="695">
        <v>0</v>
      </c>
      <c r="AM15" s="696"/>
      <c r="AN15" s="696"/>
      <c r="AO15" s="697"/>
      <c r="AP15" s="705">
        <f>AL15/AI15</f>
        <v>0</v>
      </c>
      <c r="AQ15" s="706"/>
      <c r="AR15" s="668">
        <f>SUM(AP15)</f>
        <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98"/>
      <c r="AJ16" s="699"/>
      <c r="AK16" s="700"/>
      <c r="AL16" s="698"/>
      <c r="AM16" s="699"/>
      <c r="AN16" s="699"/>
      <c r="AO16" s="700"/>
      <c r="AP16" s="707"/>
      <c r="AQ16" s="708"/>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98"/>
      <c r="AJ17" s="699"/>
      <c r="AK17" s="700"/>
      <c r="AL17" s="698"/>
      <c r="AM17" s="699"/>
      <c r="AN17" s="699"/>
      <c r="AO17" s="700"/>
      <c r="AP17" s="707"/>
      <c r="AQ17" s="708"/>
      <c r="AR17" s="668"/>
    </row>
    <row r="18" spans="2:44" ht="28.5" customHeight="1">
      <c r="B18" s="164" t="s">
        <v>195</v>
      </c>
      <c r="C18" s="607" t="s">
        <v>114</v>
      </c>
      <c r="D18" s="608"/>
      <c r="E18" s="644">
        <v>1</v>
      </c>
      <c r="F18" s="644"/>
      <c r="G18" s="632" t="s">
        <v>417</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701"/>
      <c r="AJ18" s="702"/>
      <c r="AK18" s="703"/>
      <c r="AL18" s="701"/>
      <c r="AM18" s="702"/>
      <c r="AN18" s="702"/>
      <c r="AO18" s="703"/>
      <c r="AP18" s="709"/>
      <c r="AQ18" s="710"/>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742">
        <v>10</v>
      </c>
      <c r="AJ19" s="743"/>
      <c r="AK19" s="744"/>
      <c r="AL19" s="742">
        <v>0</v>
      </c>
      <c r="AM19" s="743"/>
      <c r="AN19" s="743"/>
      <c r="AO19" s="744"/>
      <c r="AP19" s="751" t="e">
        <f>+AL19/AD19</f>
        <v>#VALUE!</v>
      </c>
      <c r="AQ19" s="752"/>
      <c r="AR19" s="759" t="e">
        <f>SUM(AP19)</f>
        <v>#VALUE!</v>
      </c>
    </row>
    <row r="20" spans="2:44" ht="45.4" customHeight="1">
      <c r="B20" s="607" t="s">
        <v>418</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748"/>
      <c r="AJ20" s="749"/>
      <c r="AK20" s="750"/>
      <c r="AL20" s="748"/>
      <c r="AM20" s="749"/>
      <c r="AN20" s="749"/>
      <c r="AO20" s="750"/>
      <c r="AP20" s="755"/>
      <c r="AQ20" s="756"/>
      <c r="AR20" s="760"/>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742"/>
      <c r="AJ21" s="743"/>
      <c r="AK21" s="744"/>
      <c r="AL21" s="742"/>
      <c r="AM21" s="743"/>
      <c r="AN21" s="743"/>
      <c r="AO21" s="744"/>
      <c r="AP21" s="751" t="e">
        <f>+AL21/AI21</f>
        <v>#DIV/0!</v>
      </c>
      <c r="AQ21" s="752"/>
      <c r="AR21" s="759" t="e">
        <f>SUM(AP21)</f>
        <v>#DIV/0!</v>
      </c>
    </row>
    <row r="22" spans="2:44" ht="18.95" customHeight="1">
      <c r="B22" s="633" t="s">
        <v>12</v>
      </c>
      <c r="C22" s="633"/>
      <c r="D22" s="44" t="s">
        <v>13</v>
      </c>
      <c r="E22" s="44" t="s">
        <v>14</v>
      </c>
      <c r="F22" s="44" t="s">
        <v>15</v>
      </c>
      <c r="G22" s="641" t="s">
        <v>16</v>
      </c>
      <c r="H22" s="641"/>
      <c r="I22" s="641"/>
      <c r="J22" s="44" t="s">
        <v>17</v>
      </c>
      <c r="K22" s="641" t="s">
        <v>18</v>
      </c>
      <c r="L22" s="641"/>
      <c r="M22" s="641"/>
      <c r="N22" s="44" t="s">
        <v>19</v>
      </c>
      <c r="O22" s="641" t="s">
        <v>20</v>
      </c>
      <c r="P22" s="641"/>
      <c r="Q22" s="641" t="s">
        <v>21</v>
      </c>
      <c r="R22" s="641"/>
      <c r="S22" s="641"/>
      <c r="T22" s="641" t="s">
        <v>22</v>
      </c>
      <c r="U22" s="641"/>
      <c r="V22" s="641" t="s">
        <v>23</v>
      </c>
      <c r="W22" s="641"/>
      <c r="X22" s="44" t="s">
        <v>24</v>
      </c>
      <c r="AB22" s="679"/>
      <c r="AC22" s="679"/>
      <c r="AD22" s="681" t="s">
        <v>142</v>
      </c>
      <c r="AE22" s="681"/>
      <c r="AF22" s="681"/>
      <c r="AG22" s="681"/>
      <c r="AH22" s="681"/>
      <c r="AI22" s="748"/>
      <c r="AJ22" s="749"/>
      <c r="AK22" s="750"/>
      <c r="AL22" s="748"/>
      <c r="AM22" s="749"/>
      <c r="AN22" s="749"/>
      <c r="AO22" s="750"/>
      <c r="AP22" s="755"/>
      <c r="AQ22" s="756"/>
      <c r="AR22" s="760"/>
    </row>
    <row r="23" spans="2:44" ht="18.95" customHeight="1">
      <c r="B23" s="633" t="s">
        <v>25</v>
      </c>
      <c r="C23" s="633"/>
      <c r="D23" s="682">
        <f>AL15</f>
        <v>0</v>
      </c>
      <c r="E23" s="683"/>
      <c r="F23" s="683"/>
      <c r="G23" s="683"/>
      <c r="H23" s="683"/>
      <c r="I23" s="683"/>
      <c r="J23" s="683"/>
      <c r="K23" s="683"/>
      <c r="L23" s="683"/>
      <c r="M23" s="683"/>
      <c r="N23" s="683"/>
      <c r="O23" s="683"/>
      <c r="P23" s="683"/>
      <c r="Q23" s="683"/>
      <c r="R23" s="683"/>
      <c r="S23" s="683"/>
      <c r="T23" s="683"/>
      <c r="U23" s="683"/>
      <c r="V23" s="683"/>
      <c r="W23" s="683"/>
      <c r="X23" s="684"/>
      <c r="Z23" s="52"/>
      <c r="AA23" s="52"/>
    </row>
    <row r="24" spans="2:44" ht="18.95" customHeight="1">
      <c r="B24" s="633" t="s">
        <v>26</v>
      </c>
      <c r="C24" s="633"/>
      <c r="D24" s="682">
        <f>AI15</f>
        <v>100</v>
      </c>
      <c r="E24" s="683"/>
      <c r="F24" s="683"/>
      <c r="G24" s="683"/>
      <c r="H24" s="683"/>
      <c r="I24" s="683"/>
      <c r="J24" s="683"/>
      <c r="K24" s="683"/>
      <c r="L24" s="683"/>
      <c r="M24" s="683"/>
      <c r="N24" s="683"/>
      <c r="O24" s="683"/>
      <c r="P24" s="683"/>
      <c r="Q24" s="683"/>
      <c r="R24" s="683"/>
      <c r="S24" s="683"/>
      <c r="T24" s="683"/>
      <c r="U24" s="683"/>
      <c r="V24" s="683"/>
      <c r="W24" s="683"/>
      <c r="X24" s="684"/>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44" t="s">
        <v>27</v>
      </c>
      <c r="C26" s="44" t="s">
        <v>28</v>
      </c>
      <c r="D26" s="165" t="s">
        <v>29</v>
      </c>
      <c r="E26" s="165"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v>
      </c>
      <c r="D27" s="686">
        <f>$E$18</f>
        <v>1</v>
      </c>
      <c r="E27" s="167">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167">
        <f t="shared" ref="E28:E37" si="1">$O$14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7"/>
      <c r="D29" s="687"/>
      <c r="E29" s="167">
        <f t="shared" si="1"/>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7"/>
      <c r="D30" s="687"/>
      <c r="E30" s="167">
        <f t="shared" si="1"/>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167">
        <f t="shared" si="1"/>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7"/>
      <c r="D32" s="687"/>
      <c r="E32" s="167">
        <f t="shared" si="1"/>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7"/>
      <c r="D33" s="687"/>
      <c r="E33" s="167">
        <f t="shared" si="1"/>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3" t="s">
        <v>38</v>
      </c>
      <c r="C34" s="687"/>
      <c r="D34" s="687"/>
      <c r="E34" s="167">
        <f t="shared" si="1"/>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3" t="s">
        <v>39</v>
      </c>
      <c r="C35" s="687"/>
      <c r="D35" s="687"/>
      <c r="E35" s="167">
        <f t="shared" si="1"/>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3" t="s">
        <v>40</v>
      </c>
      <c r="C36" s="687"/>
      <c r="D36" s="687"/>
      <c r="E36" s="167">
        <f t="shared" si="1"/>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3" t="s">
        <v>41</v>
      </c>
      <c r="C37" s="687"/>
      <c r="D37" s="687"/>
      <c r="E37" s="167">
        <f t="shared" si="1"/>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3" t="s">
        <v>42</v>
      </c>
      <c r="C38" s="688"/>
      <c r="D38" s="688"/>
      <c r="E38" s="167">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56.25" customHeight="1">
      <c r="B41" s="621" t="s">
        <v>440</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t="s">
        <v>441</v>
      </c>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757" t="s">
        <v>351</v>
      </c>
      <c r="M46" s="758"/>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77">
    <mergeCell ref="AI19:AK20"/>
    <mergeCell ref="AL19:AO20"/>
    <mergeCell ref="AP19:AQ20"/>
    <mergeCell ref="AP21:AQ22"/>
    <mergeCell ref="AR19:AR20"/>
    <mergeCell ref="AR21:AR22"/>
    <mergeCell ref="AL21:AO22"/>
    <mergeCell ref="AI21:AK22"/>
    <mergeCell ref="B20:L20"/>
    <mergeCell ref="M20:X20"/>
    <mergeCell ref="AD20:AH20"/>
    <mergeCell ref="B19:L19"/>
    <mergeCell ref="M19:X19"/>
    <mergeCell ref="AB19:AC22"/>
    <mergeCell ref="AD19:AH19"/>
    <mergeCell ref="T22:U22"/>
    <mergeCell ref="V22:W22"/>
    <mergeCell ref="AD22:AH22"/>
    <mergeCell ref="B21:X21"/>
    <mergeCell ref="B22:C22"/>
    <mergeCell ref="G22:I22"/>
    <mergeCell ref="K22:M22"/>
    <mergeCell ref="O22:P22"/>
    <mergeCell ref="Q22:S22"/>
    <mergeCell ref="AD21:AH21"/>
    <mergeCell ref="AP15:AQ18"/>
    <mergeCell ref="AI7:AK10"/>
    <mergeCell ref="AL7:AO10"/>
    <mergeCell ref="AP7:AQ10"/>
    <mergeCell ref="V14:X14"/>
    <mergeCell ref="AD14:AH14"/>
    <mergeCell ref="AI15:AK18"/>
    <mergeCell ref="AL15:AO18"/>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B1:T1"/>
    <mergeCell ref="U1:X4"/>
    <mergeCell ref="B2:T4"/>
    <mergeCell ref="C5:D5"/>
    <mergeCell ref="E5:G5"/>
    <mergeCell ref="H5:J5"/>
    <mergeCell ref="K5:N5"/>
    <mergeCell ref="O5:R5"/>
    <mergeCell ref="S5:V5"/>
    <mergeCell ref="W5:X5"/>
    <mergeCell ref="AB3:AR4"/>
    <mergeCell ref="AR5:AR6"/>
    <mergeCell ref="AD8:AH8"/>
    <mergeCell ref="B9:X9"/>
    <mergeCell ref="AD9:AH9"/>
    <mergeCell ref="B7:F8"/>
    <mergeCell ref="G7:X8"/>
    <mergeCell ref="AB7:AC10"/>
    <mergeCell ref="AD7:AH7"/>
    <mergeCell ref="B10:X10"/>
    <mergeCell ref="AD10:AH10"/>
    <mergeCell ref="AR7:AR10"/>
    <mergeCell ref="AB5:AC6"/>
    <mergeCell ref="AD5:AH6"/>
    <mergeCell ref="AI5:AK6"/>
    <mergeCell ref="AL5:AO6"/>
    <mergeCell ref="AP5:AQ6"/>
    <mergeCell ref="B6:X6"/>
    <mergeCell ref="B16:B17"/>
    <mergeCell ref="C16:D17"/>
    <mergeCell ref="M17:Q17"/>
    <mergeCell ref="R17:U17"/>
    <mergeCell ref="V17:X17"/>
    <mergeCell ref="AD17:AH17"/>
    <mergeCell ref="E16:F17"/>
    <mergeCell ref="B15:X15"/>
    <mergeCell ref="AB15:AC18"/>
    <mergeCell ref="AD15:AH15"/>
    <mergeCell ref="G16:L17"/>
    <mergeCell ref="M16:X16"/>
    <mergeCell ref="AD16:AH16"/>
    <mergeCell ref="AD18:AH18"/>
    <mergeCell ref="C18:D18"/>
    <mergeCell ref="E18:F18"/>
    <mergeCell ref="G18:L18"/>
    <mergeCell ref="M18:Q18"/>
    <mergeCell ref="R18:U18"/>
    <mergeCell ref="V18:X18"/>
    <mergeCell ref="B24:C24"/>
    <mergeCell ref="B23:C23"/>
    <mergeCell ref="D24:X24"/>
    <mergeCell ref="D23:X23"/>
    <mergeCell ref="N31:O31"/>
    <mergeCell ref="P31:R31"/>
    <mergeCell ref="N28:O28"/>
    <mergeCell ref="P28:R28"/>
    <mergeCell ref="H29:I29"/>
    <mergeCell ref="J29:K29"/>
    <mergeCell ref="N29:O29"/>
    <mergeCell ref="P29:R29"/>
    <mergeCell ref="B25:X25"/>
    <mergeCell ref="H26:I27"/>
    <mergeCell ref="J26:M26"/>
    <mergeCell ref="N26:O27"/>
    <mergeCell ref="P26:R27"/>
    <mergeCell ref="S26:X26"/>
    <mergeCell ref="J27:K27"/>
    <mergeCell ref="S27:X38"/>
    <mergeCell ref="H28:I28"/>
    <mergeCell ref="J28:K28"/>
    <mergeCell ref="H30:I30"/>
    <mergeCell ref="J30:K30"/>
    <mergeCell ref="B48:X48"/>
    <mergeCell ref="G50:H50"/>
    <mergeCell ref="I50:X50"/>
    <mergeCell ref="B42:X42"/>
    <mergeCell ref="B43:X43"/>
    <mergeCell ref="B44:X44"/>
    <mergeCell ref="G45:H45"/>
    <mergeCell ref="I45:J45"/>
    <mergeCell ref="K45:L45"/>
    <mergeCell ref="I47:X47"/>
    <mergeCell ref="D27:D38"/>
    <mergeCell ref="H32:I32"/>
    <mergeCell ref="J32:K32"/>
    <mergeCell ref="N32:O32"/>
    <mergeCell ref="P32:R32"/>
    <mergeCell ref="H33:I33"/>
    <mergeCell ref="J33:K33"/>
    <mergeCell ref="N33:O33"/>
    <mergeCell ref="P33:R33"/>
    <mergeCell ref="N30:O30"/>
    <mergeCell ref="P30:R30"/>
    <mergeCell ref="H31:I31"/>
    <mergeCell ref="J31:K31"/>
    <mergeCell ref="H34:I34"/>
    <mergeCell ref="J34:K34"/>
    <mergeCell ref="N34:O34"/>
    <mergeCell ref="P34:R34"/>
    <mergeCell ref="H35:I35"/>
    <mergeCell ref="J35:K35"/>
    <mergeCell ref="N35:O35"/>
    <mergeCell ref="P35:R35"/>
    <mergeCell ref="AB1:AR1"/>
    <mergeCell ref="AR11:AR14"/>
    <mergeCell ref="AR15:AR18"/>
    <mergeCell ref="AI11:AK14"/>
    <mergeCell ref="AL11:AO14"/>
    <mergeCell ref="AP11:AQ14"/>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27:C38"/>
  </mergeCells>
  <pageMargins left="0.23622047244094491" right="0.23622047244094491" top="0.31496062992125984" bottom="0" header="0.51181102362204722" footer="0.51181102362204722"/>
  <pageSetup scale="77"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Gestión\2021\[Informática.xlsx]Hoja1'!#REF!</xm:f>
          </x14:formula1>
          <xm:sqref>C18:D18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R50"/>
  <sheetViews>
    <sheetView zoomScale="80" zoomScaleNormal="80" zoomScaleSheetLayoutView="100" workbookViewId="0">
      <selection activeCell="AI18" sqref="AI18:AO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166"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78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730">
        <v>98</v>
      </c>
      <c r="AJ7" s="731"/>
      <c r="AK7" s="732"/>
      <c r="AL7" s="730">
        <v>98</v>
      </c>
      <c r="AM7" s="731"/>
      <c r="AN7" s="731"/>
      <c r="AO7" s="732"/>
      <c r="AP7" s="674">
        <f t="shared" ref="AP7:AP10" si="0">AL7/AI7</f>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730">
        <v>98</v>
      </c>
      <c r="AJ8" s="731"/>
      <c r="AK8" s="732"/>
      <c r="AL8" s="730">
        <v>98</v>
      </c>
      <c r="AM8" s="731"/>
      <c r="AN8" s="731"/>
      <c r="AO8" s="732"/>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730">
        <v>98</v>
      </c>
      <c r="AJ9" s="731"/>
      <c r="AK9" s="732"/>
      <c r="AL9" s="730">
        <v>98</v>
      </c>
      <c r="AM9" s="731"/>
      <c r="AN9" s="731"/>
      <c r="AO9" s="732"/>
      <c r="AP9" s="674">
        <f t="shared" si="0"/>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30">
        <v>98</v>
      </c>
      <c r="AJ10" s="731"/>
      <c r="AK10" s="732"/>
      <c r="AL10" s="730">
        <v>98</v>
      </c>
      <c r="AM10" s="731"/>
      <c r="AN10" s="731"/>
      <c r="AO10" s="732"/>
      <c r="AP10" s="674">
        <f t="shared" si="0"/>
        <v>1</v>
      </c>
      <c r="AQ10" s="674"/>
      <c r="AR10" s="668"/>
    </row>
    <row r="11" spans="2:44" ht="38.25" customHeight="1">
      <c r="B11" s="640" t="s">
        <v>158</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98</v>
      </c>
      <c r="AJ11" s="672"/>
      <c r="AK11" s="672"/>
      <c r="AL11" s="672">
        <v>98</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98</v>
      </c>
      <c r="AJ12" s="672"/>
      <c r="AK12" s="672"/>
      <c r="AL12" s="672">
        <v>98</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98</v>
      </c>
      <c r="AJ13" s="672"/>
      <c r="AK13" s="672"/>
      <c r="AL13" s="672">
        <v>98</v>
      </c>
      <c r="AM13" s="672"/>
      <c r="AN13" s="672"/>
      <c r="AO13" s="672"/>
      <c r="AP13" s="671">
        <f t="shared" si="1"/>
        <v>1</v>
      </c>
      <c r="AQ13" s="671"/>
      <c r="AR13" s="669"/>
    </row>
    <row r="14" spans="2:44" ht="99" customHeight="1">
      <c r="B14" s="632" t="s">
        <v>419</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98</v>
      </c>
      <c r="AJ14" s="672"/>
      <c r="AK14" s="672"/>
      <c r="AL14" s="672">
        <v>98</v>
      </c>
      <c r="AM14" s="672"/>
      <c r="AN14" s="672"/>
      <c r="AO14" s="672"/>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100</v>
      </c>
      <c r="AJ15" s="673"/>
      <c r="AK15" s="673"/>
      <c r="AL15" s="673">
        <v>85</v>
      </c>
      <c r="AM15" s="673"/>
      <c r="AN15" s="673"/>
      <c r="AO15" s="673"/>
      <c r="AP15" s="674">
        <f t="shared" si="1"/>
        <v>0.85</v>
      </c>
      <c r="AQ15" s="674"/>
      <c r="AR15" s="668">
        <f t="shared" ref="AR15" si="2">SUM(AP15:AQ18)/4</f>
        <v>0.67749999999999999</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100</v>
      </c>
      <c r="AJ16" s="673"/>
      <c r="AK16" s="673"/>
      <c r="AL16" s="673">
        <v>90</v>
      </c>
      <c r="AM16" s="673"/>
      <c r="AN16" s="673"/>
      <c r="AO16" s="673"/>
      <c r="AP16" s="674">
        <f t="shared" si="1"/>
        <v>0.9</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100</v>
      </c>
      <c r="AJ17" s="673"/>
      <c r="AK17" s="673"/>
      <c r="AL17" s="673">
        <v>96</v>
      </c>
      <c r="AM17" s="673"/>
      <c r="AN17" s="673"/>
      <c r="AO17" s="673"/>
      <c r="AP17" s="674">
        <f t="shared" si="1"/>
        <v>0.96</v>
      </c>
      <c r="AQ17" s="674"/>
      <c r="AR17" s="668"/>
    </row>
    <row r="18" spans="2:44" ht="28.5" customHeight="1">
      <c r="B18" s="164" t="s">
        <v>415</v>
      </c>
      <c r="C18" s="607" t="s">
        <v>110</v>
      </c>
      <c r="D18" s="608"/>
      <c r="E18" s="644">
        <v>1</v>
      </c>
      <c r="F18" s="644"/>
      <c r="G18" s="632" t="s">
        <v>416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100</v>
      </c>
      <c r="AJ18" s="673"/>
      <c r="AK18" s="673"/>
      <c r="AL18" s="673">
        <v>0</v>
      </c>
      <c r="AM18" s="673"/>
      <c r="AN18" s="673"/>
      <c r="AO18" s="673"/>
      <c r="AP18" s="674">
        <f t="shared" si="1"/>
        <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90</v>
      </c>
      <c r="AJ19" s="672"/>
      <c r="AK19" s="672"/>
      <c r="AL19" s="672">
        <v>90</v>
      </c>
      <c r="AM19" s="672"/>
      <c r="AN19" s="672"/>
      <c r="AO19" s="672"/>
      <c r="AP19" s="671">
        <f t="shared" si="1"/>
        <v>1</v>
      </c>
      <c r="AQ19" s="671"/>
      <c r="AR19" s="669" t="e">
        <f t="shared" ref="AR19" si="3">SUM(AP19:AQ22)/4</f>
        <v>#DIV/0!</v>
      </c>
    </row>
    <row r="20" spans="2:44" ht="45.4" customHeight="1">
      <c r="B20" s="607" t="s">
        <v>420</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90</v>
      </c>
      <c r="AJ20" s="672"/>
      <c r="AK20" s="672"/>
      <c r="AL20" s="672">
        <v>65</v>
      </c>
      <c r="AM20" s="672"/>
      <c r="AN20" s="672"/>
      <c r="AO20" s="672"/>
      <c r="AP20" s="671">
        <f t="shared" si="1"/>
        <v>0.72222222222222221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165" t="s">
        <v>13</v>
      </c>
      <c r="E22" s="165" t="s">
        <v>14</v>
      </c>
      <c r="F22" s="165" t="s">
        <v>15</v>
      </c>
      <c r="G22" s="641" t="s">
        <v>16</v>
      </c>
      <c r="H22" s="641"/>
      <c r="I22" s="641"/>
      <c r="J22" s="165" t="s">
        <v>17</v>
      </c>
      <c r="K22" s="641" t="s">
        <v>18</v>
      </c>
      <c r="L22" s="641"/>
      <c r="M22" s="641"/>
      <c r="N22" s="165" t="s">
        <v>19</v>
      </c>
      <c r="O22" s="641" t="s">
        <v>20</v>
      </c>
      <c r="P22" s="641"/>
      <c r="Q22" s="641" t="s">
        <v>21</v>
      </c>
      <c r="R22" s="641"/>
      <c r="S22" s="641"/>
      <c r="T22" s="641" t="s">
        <v>22</v>
      </c>
      <c r="U22" s="641"/>
      <c r="V22" s="641" t="s">
        <v>23</v>
      </c>
      <c r="W22" s="641"/>
      <c r="X22" s="165"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85</v>
      </c>
      <c r="E23" s="683"/>
      <c r="F23" s="684"/>
      <c r="G23" s="685">
        <f>AL16</f>
        <v>90</v>
      </c>
      <c r="H23" s="643"/>
      <c r="I23" s="643"/>
      <c r="J23" s="643"/>
      <c r="K23" s="643"/>
      <c r="L23" s="643"/>
      <c r="M23" s="608"/>
      <c r="N23" s="682">
        <f>AL17</f>
        <v>96</v>
      </c>
      <c r="O23" s="683"/>
      <c r="P23" s="683"/>
      <c r="Q23" s="683"/>
      <c r="R23" s="683"/>
      <c r="S23" s="684"/>
      <c r="T23" s="685">
        <f>AL18</f>
        <v>0</v>
      </c>
      <c r="U23" s="643"/>
      <c r="V23" s="643"/>
      <c r="W23" s="643"/>
      <c r="X23" s="608"/>
      <c r="Z23" s="52"/>
      <c r="AA23" s="52"/>
    </row>
    <row r="24" spans="2:44" ht="18.95" customHeight="1">
      <c r="B24" s="633" t="s">
        <v>26</v>
      </c>
      <c r="C24" s="633"/>
      <c r="D24" s="682">
        <f>AI15</f>
        <v>100</v>
      </c>
      <c r="E24" s="683"/>
      <c r="F24" s="684"/>
      <c r="G24" s="685">
        <f>AI16</f>
        <v>100</v>
      </c>
      <c r="H24" s="643"/>
      <c r="I24" s="643"/>
      <c r="J24" s="643"/>
      <c r="K24" s="643"/>
      <c r="L24" s="643"/>
      <c r="M24" s="608"/>
      <c r="N24" s="682">
        <f>AI17</f>
        <v>100</v>
      </c>
      <c r="O24" s="683"/>
      <c r="P24" s="683"/>
      <c r="Q24" s="683"/>
      <c r="R24" s="683"/>
      <c r="S24" s="684"/>
      <c r="T24" s="685">
        <f>AI18</f>
        <v>100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165" t="s">
        <v>27</v>
      </c>
      <c r="C26" s="165" t="s">
        <v>28</v>
      </c>
      <c r="D26" s="165" t="s">
        <v>29</v>
      </c>
      <c r="E26" s="165"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169" t="s">
        <v>31</v>
      </c>
      <c r="C27" s="686">
        <f>IF(ISERROR(D23/D24),0,$D$23/$D$24)</f>
        <v>0.85</v>
      </c>
      <c r="D27" s="686">
        <f>$E$18</f>
        <v>1</v>
      </c>
      <c r="E27" s="168">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169" t="s">
        <v>32</v>
      </c>
      <c r="C28" s="687"/>
      <c r="D28" s="687"/>
      <c r="E28" s="168">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169" t="s">
        <v>33</v>
      </c>
      <c r="C29" s="688"/>
      <c r="D29" s="688"/>
      <c r="E29" s="168">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169" t="s">
        <v>34</v>
      </c>
      <c r="C30" s="686">
        <f>IF(ISERROR(G23/G24),0,G23/G24)</f>
        <v>0.9</v>
      </c>
      <c r="D30" s="686">
        <f t="shared" ref="D30:D36" si="5">$E$18</f>
        <v>1</v>
      </c>
      <c r="E30" s="168">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169" t="s">
        <v>35</v>
      </c>
      <c r="C31" s="687"/>
      <c r="D31" s="687"/>
      <c r="E31" s="168">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169" t="s">
        <v>36</v>
      </c>
      <c r="C32" s="688"/>
      <c r="D32" s="688"/>
      <c r="E32" s="168">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169" t="s">
        <v>37</v>
      </c>
      <c r="C33" s="686">
        <f>IF(ISERROR(N23/N24),0,N23/N24)</f>
        <v>0.96</v>
      </c>
      <c r="D33" s="686">
        <f t="shared" si="5"/>
        <v>1</v>
      </c>
      <c r="E33" s="168">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169" t="s">
        <v>38</v>
      </c>
      <c r="C34" s="687"/>
      <c r="D34" s="687"/>
      <c r="E34" s="168">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169" t="s">
        <v>39</v>
      </c>
      <c r="C35" s="688"/>
      <c r="D35" s="688"/>
      <c r="E35" s="168">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169" t="s">
        <v>40</v>
      </c>
      <c r="C36" s="686">
        <f>IF(ISERROR(T23/T24),0,T23/T24)</f>
        <v>0</v>
      </c>
      <c r="D36" s="686">
        <f t="shared" si="5"/>
        <v>1</v>
      </c>
      <c r="E36" s="168">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169" t="s">
        <v>41</v>
      </c>
      <c r="C37" s="687"/>
      <c r="D37" s="687"/>
      <c r="E37" s="168">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169" t="s">
        <v>42</v>
      </c>
      <c r="C38" s="688"/>
      <c r="D38" s="688"/>
      <c r="E38" s="168">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96.75" customHeight="1">
      <c r="B41" s="621" t="s">
        <v>442</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87.75" customHeight="1">
      <c r="B44" s="617" t="s">
        <v>444</v>
      </c>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t="s">
        <v>351</v>
      </c>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443</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B1:T1"/>
    <mergeCell ref="U1:X4"/>
    <mergeCell ref="B2:T4"/>
    <mergeCell ref="AB3:AR4"/>
    <mergeCell ref="C5:D5"/>
    <mergeCell ref="E5:G5"/>
    <mergeCell ref="H5:J5"/>
    <mergeCell ref="K5:N5"/>
    <mergeCell ref="O5:R5"/>
    <mergeCell ref="S5:V5"/>
    <mergeCell ref="AR5:AR6"/>
    <mergeCell ref="B6:X6"/>
    <mergeCell ref="AB1:AR1"/>
    <mergeCell ref="B7:F8"/>
    <mergeCell ref="G7:X8"/>
    <mergeCell ref="AB7:AC10"/>
    <mergeCell ref="AD7:AH7"/>
    <mergeCell ref="AI7:AK7"/>
    <mergeCell ref="AL7:AO7"/>
    <mergeCell ref="AP7:AQ7"/>
    <mergeCell ref="AR7:AR10"/>
    <mergeCell ref="W5:X5"/>
    <mergeCell ref="AB5:AC6"/>
    <mergeCell ref="AD5:AH6"/>
    <mergeCell ref="AI5:AK6"/>
    <mergeCell ref="AL5:AO6"/>
    <mergeCell ref="AP5:AQ6"/>
    <mergeCell ref="AD8:AH8"/>
    <mergeCell ref="AI8:AK8"/>
    <mergeCell ref="AL8:AO8"/>
    <mergeCell ref="AP8:AQ8"/>
    <mergeCell ref="B9:X9"/>
    <mergeCell ref="AD9:AH9"/>
    <mergeCell ref="AI9:AK9"/>
    <mergeCell ref="AL9:AO9"/>
    <mergeCell ref="AP9:AQ9"/>
    <mergeCell ref="B10:X10"/>
    <mergeCell ref="AD10:AH10"/>
    <mergeCell ref="AI10:AK10"/>
    <mergeCell ref="AL10:AO10"/>
    <mergeCell ref="AP10:AQ10"/>
    <mergeCell ref="B11:X11"/>
    <mergeCell ref="AB11:AC14"/>
    <mergeCell ref="AD11:AH11"/>
    <mergeCell ref="AI11:AK11"/>
    <mergeCell ref="AL11:AO11"/>
    <mergeCell ref="AP11:AQ11"/>
    <mergeCell ref="AL13:AO13"/>
    <mergeCell ref="AP14:AQ14"/>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T24:X24"/>
    <mergeCell ref="B25:X25"/>
    <mergeCell ref="J28:K28"/>
    <mergeCell ref="N28:O28"/>
    <mergeCell ref="P28:R28"/>
    <mergeCell ref="H29:I29"/>
    <mergeCell ref="J29:K29"/>
    <mergeCell ref="N29:O29"/>
    <mergeCell ref="P29:R29"/>
    <mergeCell ref="H26:I27"/>
    <mergeCell ref="J26:M26"/>
    <mergeCell ref="N26:O27"/>
    <mergeCell ref="P26:R27"/>
    <mergeCell ref="H34:I34"/>
    <mergeCell ref="J34:K34"/>
    <mergeCell ref="N34:O34"/>
    <mergeCell ref="P34:R34"/>
    <mergeCell ref="H35:I35"/>
    <mergeCell ref="J35:K35"/>
    <mergeCell ref="N35:O35"/>
    <mergeCell ref="P35:R35"/>
    <mergeCell ref="H32:I32"/>
    <mergeCell ref="H33:I33"/>
    <mergeCell ref="J33:K33"/>
    <mergeCell ref="N33:O33"/>
    <mergeCell ref="P33:R33"/>
    <mergeCell ref="C30:C32"/>
    <mergeCell ref="D30:D32"/>
    <mergeCell ref="H30:I30"/>
    <mergeCell ref="J30:K30"/>
    <mergeCell ref="N30:O30"/>
    <mergeCell ref="P30:R30"/>
    <mergeCell ref="H31:I31"/>
    <mergeCell ref="J31:K31"/>
    <mergeCell ref="N31:O31"/>
    <mergeCell ref="P31:R31"/>
    <mergeCell ref="J32:K32"/>
    <mergeCell ref="N32:O32"/>
    <mergeCell ref="P32:R32"/>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B48:X48"/>
    <mergeCell ref="G50:H50"/>
    <mergeCell ref="I50:X50"/>
    <mergeCell ref="B42:X42"/>
    <mergeCell ref="B43:X43"/>
    <mergeCell ref="B44:X44"/>
    <mergeCell ref="G45:H45"/>
    <mergeCell ref="I45:J45"/>
    <mergeCell ref="K45:L45"/>
    <mergeCell ref="B46:H46"/>
    <mergeCell ref="L46:M46"/>
    <mergeCell ref="Q46:R46"/>
    <mergeCell ref="I47:X47"/>
  </mergeCells>
  <pageMargins left="0.23622047244094491" right="0.23622047244094491" top="0.31496062992125984" bottom="0" header="0.51181102362204722" footer="0.51181102362204722"/>
  <pageSetup scale="7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G14:J14 G7:X8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tabColor theme="8"/>
    <pageSetUpPr fitToPage="1"/>
  </sheetPr>
  <dimension ref="B1:AR50"/>
  <sheetViews>
    <sheetView zoomScale="80" zoomScaleNormal="80" zoomScaleSheetLayoutView="100" workbookViewId="0">
      <selection activeCell="AI19" sqref="AI19:AO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166"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78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0</v>
      </c>
      <c r="AJ7" s="673"/>
      <c r="AK7" s="673"/>
      <c r="AL7" s="673">
        <v>0</v>
      </c>
      <c r="AM7" s="673"/>
      <c r="AN7" s="673"/>
      <c r="AO7" s="673"/>
      <c r="AP7" s="674" t="e">
        <f t="shared" ref="AP7:AP10" si="0">AL7/AI7</f>
        <v>#DIV/0!</v>
      </c>
      <c r="AQ7" s="674"/>
      <c r="AR7" s="668" t="e">
        <f>SUM(AP7:AQ10)/4</f>
        <v>#DIV/0!</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0</v>
      </c>
      <c r="AJ8" s="673"/>
      <c r="AK8" s="673"/>
      <c r="AL8" s="673">
        <v>0</v>
      </c>
      <c r="AM8" s="673"/>
      <c r="AN8" s="673"/>
      <c r="AO8" s="673"/>
      <c r="AP8" s="674" t="e">
        <f t="shared" si="0"/>
        <v>#DIV/0!</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0</v>
      </c>
      <c r="AJ9" s="673"/>
      <c r="AK9" s="673"/>
      <c r="AL9" s="673">
        <v>0</v>
      </c>
      <c r="AM9" s="673"/>
      <c r="AN9" s="673"/>
      <c r="AO9" s="673"/>
      <c r="AP9" s="674" t="e">
        <f t="shared" si="0"/>
        <v>#DIV/0!</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420</v>
      </c>
      <c r="AJ10" s="673"/>
      <c r="AK10" s="673"/>
      <c r="AL10" s="673">
        <v>403</v>
      </c>
      <c r="AM10" s="673"/>
      <c r="AN10" s="673"/>
      <c r="AO10" s="673"/>
      <c r="AP10" s="674">
        <f t="shared" si="0"/>
        <v>0.95952380952380956</v>
      </c>
      <c r="AQ10" s="674"/>
      <c r="AR10" s="668"/>
    </row>
    <row r="11" spans="2:44" ht="38.25" customHeight="1">
      <c r="B11" s="640" t="s">
        <v>159</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100</v>
      </c>
      <c r="AJ11" s="672"/>
      <c r="AK11" s="672"/>
      <c r="AL11" s="672">
        <v>100</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100</v>
      </c>
      <c r="AJ12" s="672"/>
      <c r="AK12" s="672"/>
      <c r="AL12" s="672">
        <v>100</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100</v>
      </c>
      <c r="AJ13" s="672"/>
      <c r="AK13" s="672"/>
      <c r="AL13" s="672">
        <v>100</v>
      </c>
      <c r="AM13" s="672"/>
      <c r="AN13" s="672"/>
      <c r="AO13" s="672"/>
      <c r="AP13" s="671">
        <f t="shared" si="1"/>
        <v>1</v>
      </c>
      <c r="AQ13" s="671"/>
      <c r="AR13" s="669"/>
    </row>
    <row r="14" spans="2:44" ht="101.25" customHeight="1">
      <c r="B14" s="632" t="s">
        <v>419</v>
      </c>
      <c r="C14" s="632"/>
      <c r="D14" s="632"/>
      <c r="E14" s="632"/>
      <c r="F14" s="632"/>
      <c r="G14" s="644" t="s">
        <v>100</v>
      </c>
      <c r="H14" s="644"/>
      <c r="I14" s="644"/>
      <c r="J14" s="644"/>
      <c r="K14" s="644">
        <v>0.95</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100</v>
      </c>
      <c r="AJ14" s="672"/>
      <c r="AK14" s="672"/>
      <c r="AL14" s="672">
        <v>100</v>
      </c>
      <c r="AM14" s="672"/>
      <c r="AN14" s="672"/>
      <c r="AO14" s="672"/>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95</v>
      </c>
      <c r="AJ15" s="673"/>
      <c r="AK15" s="673"/>
      <c r="AL15" s="673">
        <v>92</v>
      </c>
      <c r="AM15" s="673"/>
      <c r="AN15" s="673"/>
      <c r="AO15" s="673"/>
      <c r="AP15" s="674">
        <f t="shared" si="1"/>
        <v>0.96842105263157896</v>
      </c>
      <c r="AQ15" s="674"/>
      <c r="AR15" s="668" t="e">
        <f t="shared" ref="AR15" si="2">SUM(AP15:AQ18)/4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100</v>
      </c>
      <c r="AJ16" s="673"/>
      <c r="AK16" s="673"/>
      <c r="AL16" s="673">
        <v>97</v>
      </c>
      <c r="AM16" s="673"/>
      <c r="AN16" s="673"/>
      <c r="AO16" s="673"/>
      <c r="AP16" s="674">
        <f t="shared" si="1"/>
        <v>0.97</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100</v>
      </c>
      <c r="AJ17" s="673"/>
      <c r="AK17" s="673"/>
      <c r="AL17" s="673">
        <v>99</v>
      </c>
      <c r="AM17" s="673"/>
      <c r="AN17" s="673"/>
      <c r="AO17" s="673"/>
      <c r="AP17" s="674">
        <f t="shared" si="1"/>
        <v>0.99</v>
      </c>
      <c r="AQ17" s="674"/>
      <c r="AR17" s="668"/>
    </row>
    <row r="18" spans="2:44" ht="28.5" customHeight="1">
      <c r="B18" s="164"/>
      <c r="C18" s="607" t="s">
        <v>110</v>
      </c>
      <c r="D18" s="608"/>
      <c r="E18" s="644">
        <v>0.95</v>
      </c>
      <c r="F18" s="644"/>
      <c r="G18" s="632" t="s">
        <v>416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c r="AJ18" s="673"/>
      <c r="AK18" s="673"/>
      <c r="AL18" s="673"/>
      <c r="AM18" s="673"/>
      <c r="AN18" s="673"/>
      <c r="AO18" s="673"/>
      <c r="AP18" s="674" t="e">
        <f t="shared" si="1"/>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392</v>
      </c>
      <c r="AJ19" s="672"/>
      <c r="AK19" s="672"/>
      <c r="AL19" s="672">
        <v>392</v>
      </c>
      <c r="AM19" s="672"/>
      <c r="AN19" s="672"/>
      <c r="AO19" s="672"/>
      <c r="AP19" s="671">
        <f t="shared" si="1"/>
        <v>1</v>
      </c>
      <c r="AQ19" s="671"/>
      <c r="AR19" s="669" t="e">
        <f t="shared" ref="AR19" si="3">SUM(AP19:AQ22)/4</f>
        <v>#DIV/0!</v>
      </c>
    </row>
    <row r="20" spans="2:44" ht="45.4" customHeight="1">
      <c r="B20" s="607" t="s">
        <v>421</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561</v>
      </c>
      <c r="AJ20" s="672"/>
      <c r="AK20" s="672"/>
      <c r="AL20" s="672">
        <v>561</v>
      </c>
      <c r="AM20" s="672"/>
      <c r="AN20" s="672"/>
      <c r="AO20" s="672"/>
      <c r="AP20" s="671">
        <f t="shared" si="1"/>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165" t="s">
        <v>13</v>
      </c>
      <c r="E22" s="165" t="s">
        <v>14</v>
      </c>
      <c r="F22" s="165" t="s">
        <v>15</v>
      </c>
      <c r="G22" s="641" t="s">
        <v>16</v>
      </c>
      <c r="H22" s="641"/>
      <c r="I22" s="641"/>
      <c r="J22" s="165" t="s">
        <v>17</v>
      </c>
      <c r="K22" s="641" t="s">
        <v>18</v>
      </c>
      <c r="L22" s="641"/>
      <c r="M22" s="641"/>
      <c r="N22" s="165" t="s">
        <v>19</v>
      </c>
      <c r="O22" s="641" t="s">
        <v>20</v>
      </c>
      <c r="P22" s="641"/>
      <c r="Q22" s="641" t="s">
        <v>21</v>
      </c>
      <c r="R22" s="641"/>
      <c r="S22" s="641"/>
      <c r="T22" s="641" t="s">
        <v>22</v>
      </c>
      <c r="U22" s="641"/>
      <c r="V22" s="641" t="s">
        <v>23</v>
      </c>
      <c r="W22" s="641"/>
      <c r="X22" s="165"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92</v>
      </c>
      <c r="E23" s="683"/>
      <c r="F23" s="684"/>
      <c r="G23" s="685">
        <f>AL16</f>
        <v>97</v>
      </c>
      <c r="H23" s="643"/>
      <c r="I23" s="643"/>
      <c r="J23" s="643"/>
      <c r="K23" s="643"/>
      <c r="L23" s="643"/>
      <c r="M23" s="608"/>
      <c r="N23" s="682">
        <f>AL17</f>
        <v>99</v>
      </c>
      <c r="O23" s="683"/>
      <c r="P23" s="683"/>
      <c r="Q23" s="683"/>
      <c r="R23" s="683"/>
      <c r="S23" s="684"/>
      <c r="T23" s="685">
        <f>AL18</f>
        <v>0</v>
      </c>
      <c r="U23" s="643"/>
      <c r="V23" s="643"/>
      <c r="W23" s="643"/>
      <c r="X23" s="608"/>
      <c r="Z23" s="52"/>
      <c r="AA23" s="52"/>
    </row>
    <row r="24" spans="2:44" ht="18.95" customHeight="1">
      <c r="B24" s="633" t="s">
        <v>26</v>
      </c>
      <c r="C24" s="633"/>
      <c r="D24" s="682">
        <f>AI15</f>
        <v>95</v>
      </c>
      <c r="E24" s="683"/>
      <c r="F24" s="684"/>
      <c r="G24" s="685">
        <f>AI16</f>
        <v>100</v>
      </c>
      <c r="H24" s="643"/>
      <c r="I24" s="643"/>
      <c r="J24" s="643"/>
      <c r="K24" s="643"/>
      <c r="L24" s="643"/>
      <c r="M24" s="608"/>
      <c r="N24" s="682">
        <f>AI17</f>
        <v>100</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165" t="s">
        <v>27</v>
      </c>
      <c r="C26" s="165" t="s">
        <v>28</v>
      </c>
      <c r="D26" s="165" t="s">
        <v>29</v>
      </c>
      <c r="E26" s="165"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169" t="s">
        <v>31</v>
      </c>
      <c r="C27" s="686">
        <f>IF(ISERROR(D23/D24),0,$D$23/$D$24)</f>
        <v>0.96842105263157896</v>
      </c>
      <c r="D27" s="686">
        <f>$E$18</f>
        <v>0.95</v>
      </c>
      <c r="E27" s="168">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169" t="s">
        <v>32</v>
      </c>
      <c r="C28" s="687"/>
      <c r="D28" s="687"/>
      <c r="E28" s="168">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169" t="s">
        <v>33</v>
      </c>
      <c r="C29" s="688"/>
      <c r="D29" s="688"/>
      <c r="E29" s="168">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169" t="s">
        <v>34</v>
      </c>
      <c r="C30" s="686">
        <f>IF(ISERROR(G23/G24),0,G23/G24)</f>
        <v>0.97</v>
      </c>
      <c r="D30" s="686">
        <f t="shared" ref="D30:D36" si="5">$E$18</f>
        <v>0.95</v>
      </c>
      <c r="E30" s="168">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169" t="s">
        <v>35</v>
      </c>
      <c r="C31" s="687"/>
      <c r="D31" s="687"/>
      <c r="E31" s="168">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169" t="s">
        <v>36</v>
      </c>
      <c r="C32" s="688"/>
      <c r="D32" s="688"/>
      <c r="E32" s="168">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169" t="s">
        <v>37</v>
      </c>
      <c r="C33" s="686">
        <f>IF(ISERROR(N23/N24),0,N23/N24)</f>
        <v>0.99</v>
      </c>
      <c r="D33" s="686">
        <f t="shared" si="5"/>
        <v>0.95</v>
      </c>
      <c r="E33" s="168">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169" t="s">
        <v>38</v>
      </c>
      <c r="C34" s="687"/>
      <c r="D34" s="687"/>
      <c r="E34" s="168">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169" t="s">
        <v>39</v>
      </c>
      <c r="C35" s="688"/>
      <c r="D35" s="688"/>
      <c r="E35" s="168">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169" t="s">
        <v>40</v>
      </c>
      <c r="C36" s="686">
        <f>IF(ISERROR(T23/T24),0,T23/T24)</f>
        <v>0</v>
      </c>
      <c r="D36" s="686">
        <f t="shared" si="5"/>
        <v>0.95</v>
      </c>
      <c r="E36" s="168">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169" t="s">
        <v>41</v>
      </c>
      <c r="C37" s="687"/>
      <c r="D37" s="687"/>
      <c r="E37" s="168">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169" t="s">
        <v>42</v>
      </c>
      <c r="C38" s="688"/>
      <c r="D38" s="688"/>
      <c r="E38" s="168">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84" customHeight="1">
      <c r="B41" s="621" t="s">
        <v>445</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93" customHeight="1">
      <c r="B44" s="617" t="s">
        <v>446</v>
      </c>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757" t="s">
        <v>351</v>
      </c>
      <c r="M46" s="758"/>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7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G14:J14 G7:X8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tabColor theme="8"/>
    <pageSetUpPr fitToPage="1"/>
  </sheetPr>
  <dimension ref="B1:AR50"/>
  <sheetViews>
    <sheetView zoomScale="80" zoomScaleNormal="80" zoomScaleSheetLayoutView="100" workbookViewId="0">
      <selection activeCell="AL31" sqref="AL3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166"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78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95" t="s">
        <v>204</v>
      </c>
      <c r="AJ7" s="696"/>
      <c r="AK7" s="697"/>
      <c r="AL7" s="695" t="s">
        <v>204</v>
      </c>
      <c r="AM7" s="696"/>
      <c r="AN7" s="696"/>
      <c r="AO7" s="697"/>
      <c r="AP7" s="705" t="s">
        <v>204</v>
      </c>
      <c r="AQ7" s="706"/>
      <c r="AR7" s="66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98"/>
      <c r="AJ8" s="699"/>
      <c r="AK8" s="700"/>
      <c r="AL8" s="698"/>
      <c r="AM8" s="699"/>
      <c r="AN8" s="699"/>
      <c r="AO8" s="700"/>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98"/>
      <c r="AJ9" s="699"/>
      <c r="AK9" s="700"/>
      <c r="AL9" s="698"/>
      <c r="AM9" s="699"/>
      <c r="AN9" s="699"/>
      <c r="AO9" s="700"/>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01"/>
      <c r="AJ10" s="702"/>
      <c r="AK10" s="703"/>
      <c r="AL10" s="701"/>
      <c r="AM10" s="702"/>
      <c r="AN10" s="702"/>
      <c r="AO10" s="703"/>
      <c r="AP10" s="709"/>
      <c r="AQ10" s="710"/>
      <c r="AR10" s="668"/>
    </row>
    <row r="11" spans="2:44" ht="38.25" customHeight="1">
      <c r="B11" s="640" t="s">
        <v>160</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t="s">
        <v>204</v>
      </c>
      <c r="AJ11" s="672"/>
      <c r="AK11" s="672"/>
      <c r="AL11" s="672" t="s">
        <v>204</v>
      </c>
      <c r="AM11" s="672"/>
      <c r="AN11" s="672"/>
      <c r="AO11" s="672"/>
      <c r="AP11" s="671" t="s">
        <v>204</v>
      </c>
      <c r="AQ11" s="671"/>
      <c r="AR11" s="669">
        <f>SUM(AP14)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t="s">
        <v>204</v>
      </c>
      <c r="AJ12" s="672"/>
      <c r="AK12" s="672"/>
      <c r="AL12" s="672" t="s">
        <v>204</v>
      </c>
      <c r="AM12" s="672"/>
      <c r="AN12" s="672"/>
      <c r="AO12" s="672"/>
      <c r="AP12" s="671" t="s">
        <v>204</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t="s">
        <v>204</v>
      </c>
      <c r="AJ13" s="672"/>
      <c r="AK13" s="672"/>
      <c r="AL13" s="672" t="s">
        <v>204</v>
      </c>
      <c r="AM13" s="672"/>
      <c r="AN13" s="672"/>
      <c r="AO13" s="672"/>
      <c r="AP13" s="671" t="s">
        <v>204</v>
      </c>
      <c r="AQ13" s="671"/>
      <c r="AR13" s="669"/>
    </row>
    <row r="14" spans="2:44" ht="99.75" customHeight="1">
      <c r="B14" s="632" t="s">
        <v>419</v>
      </c>
      <c r="C14" s="632"/>
      <c r="D14" s="632"/>
      <c r="E14" s="632"/>
      <c r="F14" s="632"/>
      <c r="G14" s="644" t="s">
        <v>99</v>
      </c>
      <c r="H14" s="644"/>
      <c r="I14" s="644"/>
      <c r="J14" s="644"/>
      <c r="K14" s="644">
        <v>0.9</v>
      </c>
      <c r="L14" s="644"/>
      <c r="M14" s="644"/>
      <c r="N14" s="644"/>
      <c r="O14" s="635">
        <v>0.9</v>
      </c>
      <c r="P14" s="636"/>
      <c r="Q14" s="636"/>
      <c r="R14" s="637"/>
      <c r="S14" s="591">
        <v>44561</v>
      </c>
      <c r="T14" s="592"/>
      <c r="U14" s="593"/>
      <c r="V14" s="594">
        <v>2021</v>
      </c>
      <c r="W14" s="594"/>
      <c r="X14" s="594"/>
      <c r="AB14" s="679"/>
      <c r="AC14" s="679"/>
      <c r="AD14" s="681" t="s">
        <v>134</v>
      </c>
      <c r="AE14" s="681"/>
      <c r="AF14" s="681"/>
      <c r="AG14" s="681"/>
      <c r="AH14" s="681"/>
      <c r="AI14" s="672">
        <v>17</v>
      </c>
      <c r="AJ14" s="672"/>
      <c r="AK14" s="672"/>
      <c r="AL14" s="672">
        <v>17</v>
      </c>
      <c r="AM14" s="672"/>
      <c r="AN14" s="672"/>
      <c r="AO14" s="672"/>
      <c r="AP14" s="671">
        <f t="shared" ref="AP14:AP22" si="0">AL14/AI14</f>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22</v>
      </c>
      <c r="AJ15" s="673"/>
      <c r="AK15" s="673"/>
      <c r="AL15" s="673">
        <v>18</v>
      </c>
      <c r="AM15" s="673"/>
      <c r="AN15" s="673"/>
      <c r="AO15" s="673"/>
      <c r="AP15" s="674">
        <f t="shared" si="0"/>
        <v>0.81818181818181823</v>
      </c>
      <c r="AQ15" s="674"/>
      <c r="AR15" s="668" t="e">
        <f>(AP15+AP16+AP17+AP18)/4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90</v>
      </c>
      <c r="AJ16" s="673"/>
      <c r="AK16" s="673"/>
      <c r="AL16" s="673">
        <v>86</v>
      </c>
      <c r="AM16" s="673"/>
      <c r="AN16" s="673"/>
      <c r="AO16" s="673"/>
      <c r="AP16" s="674">
        <f t="shared" si="0"/>
        <v>0.9555555555555556</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90</v>
      </c>
      <c r="AJ17" s="673"/>
      <c r="AK17" s="673"/>
      <c r="AL17" s="673">
        <v>89</v>
      </c>
      <c r="AM17" s="673"/>
      <c r="AN17" s="673"/>
      <c r="AO17" s="673"/>
      <c r="AP17" s="674">
        <f t="shared" si="0"/>
        <v>0.98888888888888893</v>
      </c>
      <c r="AQ17" s="674"/>
      <c r="AR17" s="668"/>
    </row>
    <row r="18" spans="2:44" ht="28.5" customHeight="1">
      <c r="B18" s="164" t="s">
        <v>415</v>
      </c>
      <c r="C18" s="607" t="s">
        <v>112</v>
      </c>
      <c r="D18" s="608"/>
      <c r="E18" s="644">
        <v>0.9</v>
      </c>
      <c r="F18" s="644"/>
      <c r="G18" s="632" t="s">
        <v>416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c r="AJ18" s="673"/>
      <c r="AK18" s="673"/>
      <c r="AL18" s="673"/>
      <c r="AM18" s="673"/>
      <c r="AN18" s="673"/>
      <c r="AO18" s="673"/>
      <c r="AP18" s="674" t="e">
        <f t="shared" si="0"/>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0</v>
      </c>
      <c r="AJ19" s="672"/>
      <c r="AK19" s="672"/>
      <c r="AL19" s="672">
        <v>0</v>
      </c>
      <c r="AM19" s="672"/>
      <c r="AN19" s="672"/>
      <c r="AO19" s="672"/>
      <c r="AP19" s="671" t="e">
        <f t="shared" si="0"/>
        <v>#DIV/0!</v>
      </c>
      <c r="AQ19" s="671"/>
      <c r="AR19" s="669" t="e">
        <f t="shared" ref="AR19" si="1">SUM(AP19:AQ22)/4</f>
        <v>#DIV/0!</v>
      </c>
    </row>
    <row r="20" spans="2:44" ht="45.4" customHeight="1">
      <c r="B20" s="607" t="s">
        <v>422</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2</v>
      </c>
      <c r="AJ20" s="672"/>
      <c r="AK20" s="672"/>
      <c r="AL20" s="672">
        <v>2</v>
      </c>
      <c r="AM20" s="672"/>
      <c r="AN20" s="672"/>
      <c r="AO20" s="672"/>
      <c r="AP20" s="671">
        <f t="shared" si="0"/>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0"/>
        <v>#DIV/0!</v>
      </c>
      <c r="AQ21" s="671"/>
      <c r="AR21" s="669"/>
    </row>
    <row r="22" spans="2:44" ht="18.95" customHeight="1">
      <c r="B22" s="633" t="s">
        <v>12</v>
      </c>
      <c r="C22" s="633"/>
      <c r="D22" s="165" t="s">
        <v>13</v>
      </c>
      <c r="E22" s="165" t="s">
        <v>14</v>
      </c>
      <c r="F22" s="165" t="s">
        <v>15</v>
      </c>
      <c r="G22" s="641" t="s">
        <v>16</v>
      </c>
      <c r="H22" s="641"/>
      <c r="I22" s="641"/>
      <c r="J22" s="165" t="s">
        <v>17</v>
      </c>
      <c r="K22" s="641" t="s">
        <v>18</v>
      </c>
      <c r="L22" s="641"/>
      <c r="M22" s="641"/>
      <c r="N22" s="165" t="s">
        <v>19</v>
      </c>
      <c r="O22" s="641" t="s">
        <v>20</v>
      </c>
      <c r="P22" s="641"/>
      <c r="Q22" s="641" t="s">
        <v>21</v>
      </c>
      <c r="R22" s="641"/>
      <c r="S22" s="641"/>
      <c r="T22" s="641" t="s">
        <v>22</v>
      </c>
      <c r="U22" s="641"/>
      <c r="V22" s="641" t="s">
        <v>23</v>
      </c>
      <c r="W22" s="641"/>
      <c r="X22" s="165" t="s">
        <v>24</v>
      </c>
      <c r="AB22" s="679"/>
      <c r="AC22" s="679"/>
      <c r="AD22" s="681" t="s">
        <v>142</v>
      </c>
      <c r="AE22" s="681"/>
      <c r="AF22" s="681"/>
      <c r="AG22" s="681"/>
      <c r="AH22" s="681"/>
      <c r="AI22" s="672"/>
      <c r="AJ22" s="672"/>
      <c r="AK22" s="672"/>
      <c r="AL22" s="672"/>
      <c r="AM22" s="672"/>
      <c r="AN22" s="672"/>
      <c r="AO22" s="672"/>
      <c r="AP22" s="671" t="e">
        <f t="shared" si="0"/>
        <v>#DIV/0!</v>
      </c>
      <c r="AQ22" s="671"/>
      <c r="AR22" s="669"/>
    </row>
    <row r="23" spans="2:44" ht="18.95" customHeight="1">
      <c r="B23" s="633" t="s">
        <v>25</v>
      </c>
      <c r="C23" s="633"/>
      <c r="D23" s="682">
        <f>AL15</f>
        <v>18</v>
      </c>
      <c r="E23" s="683"/>
      <c r="F23" s="684"/>
      <c r="G23" s="685">
        <f>AL16</f>
        <v>86</v>
      </c>
      <c r="H23" s="643"/>
      <c r="I23" s="643"/>
      <c r="J23" s="643"/>
      <c r="K23" s="643"/>
      <c r="L23" s="643"/>
      <c r="M23" s="608"/>
      <c r="N23" s="682">
        <f>AL17</f>
        <v>89</v>
      </c>
      <c r="O23" s="683"/>
      <c r="P23" s="683"/>
      <c r="Q23" s="683"/>
      <c r="R23" s="683"/>
      <c r="S23" s="684"/>
      <c r="T23" s="685">
        <f>AL18</f>
        <v>0</v>
      </c>
      <c r="U23" s="643"/>
      <c r="V23" s="643"/>
      <c r="W23" s="643"/>
      <c r="X23" s="608"/>
      <c r="Z23" s="52"/>
      <c r="AA23" s="52"/>
    </row>
    <row r="24" spans="2:44" ht="18.95" customHeight="1">
      <c r="B24" s="633" t="s">
        <v>26</v>
      </c>
      <c r="C24" s="633"/>
      <c r="D24" s="682">
        <f>AI15</f>
        <v>22</v>
      </c>
      <c r="E24" s="683"/>
      <c r="F24" s="684"/>
      <c r="G24" s="685">
        <f>AI16</f>
        <v>90</v>
      </c>
      <c r="H24" s="643"/>
      <c r="I24" s="643"/>
      <c r="J24" s="643"/>
      <c r="K24" s="643"/>
      <c r="L24" s="643"/>
      <c r="M24" s="608"/>
      <c r="N24" s="682">
        <f>AI17</f>
        <v>90</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165" t="s">
        <v>27</v>
      </c>
      <c r="C26" s="165" t="s">
        <v>28</v>
      </c>
      <c r="D26" s="165" t="s">
        <v>29</v>
      </c>
      <c r="E26" s="165"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169" t="s">
        <v>31</v>
      </c>
      <c r="C27" s="686">
        <f>IF(ISERROR(D23/D24),0,$D$23/$D$24)</f>
        <v>0.81818181818181823</v>
      </c>
      <c r="D27" s="686">
        <f>$E$18</f>
        <v>0.9</v>
      </c>
      <c r="E27" s="168">
        <f>$O$14</f>
        <v>0.9</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169" t="s">
        <v>32</v>
      </c>
      <c r="C28" s="687"/>
      <c r="D28" s="687"/>
      <c r="E28" s="168">
        <f t="shared" ref="E28:E37" si="2">$O$14</f>
        <v>0.9</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169" t="s">
        <v>33</v>
      </c>
      <c r="C29" s="688"/>
      <c r="D29" s="688"/>
      <c r="E29" s="168">
        <f t="shared" si="2"/>
        <v>0.9</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169" t="s">
        <v>34</v>
      </c>
      <c r="C30" s="686">
        <f>IF(ISERROR(G23/G24),0,G23/G24)</f>
        <v>0.9555555555555556</v>
      </c>
      <c r="D30" s="686">
        <f t="shared" ref="D30:D36" si="3">$E$18</f>
        <v>0.9</v>
      </c>
      <c r="E30" s="168">
        <f t="shared" si="2"/>
        <v>0.9</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169" t="s">
        <v>35</v>
      </c>
      <c r="C31" s="687"/>
      <c r="D31" s="687"/>
      <c r="E31" s="168">
        <f t="shared" si="2"/>
        <v>0.9</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169" t="s">
        <v>36</v>
      </c>
      <c r="C32" s="688"/>
      <c r="D32" s="688"/>
      <c r="E32" s="168">
        <f t="shared" si="2"/>
        <v>0.9</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169" t="s">
        <v>37</v>
      </c>
      <c r="C33" s="686">
        <f>IF(ISERROR(N23/N24),0,N23/N24)</f>
        <v>0.98888888888888893</v>
      </c>
      <c r="D33" s="686">
        <f t="shared" si="3"/>
        <v>0.9</v>
      </c>
      <c r="E33" s="168">
        <f t="shared" si="2"/>
        <v>0.9</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169" t="s">
        <v>38</v>
      </c>
      <c r="C34" s="687"/>
      <c r="D34" s="687"/>
      <c r="E34" s="168">
        <f t="shared" si="2"/>
        <v>0.9</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169" t="s">
        <v>39</v>
      </c>
      <c r="C35" s="688"/>
      <c r="D35" s="688"/>
      <c r="E35" s="168">
        <f t="shared" si="2"/>
        <v>0.9</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169" t="s">
        <v>40</v>
      </c>
      <c r="C36" s="686">
        <f>IF(ISERROR(T23/T24),0,T23/T24)</f>
        <v>0</v>
      </c>
      <c r="D36" s="686">
        <f t="shared" si="3"/>
        <v>0.9</v>
      </c>
      <c r="E36" s="168">
        <f t="shared" si="2"/>
        <v>0.9</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169" t="s">
        <v>41</v>
      </c>
      <c r="C37" s="687"/>
      <c r="D37" s="687"/>
      <c r="E37" s="168">
        <f t="shared" si="2"/>
        <v>0.9</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169" t="s">
        <v>42</v>
      </c>
      <c r="C38" s="688"/>
      <c r="D38" s="688"/>
      <c r="E38" s="168">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99.75" customHeight="1">
      <c r="B41" s="621" t="s">
        <v>448</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D8:AH8"/>
    <mergeCell ref="B9:X9"/>
    <mergeCell ref="AD9:AH9"/>
    <mergeCell ref="B7:F8"/>
    <mergeCell ref="G7:X8"/>
    <mergeCell ref="AB7:AC10"/>
    <mergeCell ref="AD7:AH7"/>
    <mergeCell ref="B10:X10"/>
    <mergeCell ref="AD10:AH10"/>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s>
  <pageMargins left="0.23622047244094491" right="0.23622047244094491" top="0.31496062992125984" bottom="0" header="0.51181102362204722" footer="0.51181102362204722"/>
  <pageSetup scale="74"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G7:X8 G14:J14</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pageSetUpPr fitToPage="1"/>
  </sheetPr>
  <dimension ref="B1:AR50"/>
  <sheetViews>
    <sheetView topLeftCell="C1" zoomScale="80" zoomScaleNormal="80" zoomScaleSheetLayoutView="100" workbookViewId="0">
      <selection activeCell="AL20" sqref="AL20:AO20"/>
    </sheetView>
  </sheetViews>
  <sheetFormatPr baseColWidth="10" defaultColWidth="4.625" defaultRowHeight="13.5" customHeight="1"/>
  <cols>
    <col min="1" max="1" width="1" style="96" customWidth="1"/>
    <col min="2" max="2" width="9.875" style="96" customWidth="1"/>
    <col min="3" max="3" width="8.5" style="96" customWidth="1"/>
    <col min="4" max="4" width="8.25" style="96" customWidth="1"/>
    <col min="5" max="5" width="8.125" style="96" customWidth="1"/>
    <col min="6" max="6" width="6.625" style="96" customWidth="1"/>
    <col min="7" max="7" width="3.5" style="96" customWidth="1"/>
    <col min="8" max="8" width="2.375" style="96" customWidth="1"/>
    <col min="9" max="9" width="2" style="96" customWidth="1"/>
    <col min="10" max="10" width="7.25" style="96" customWidth="1"/>
    <col min="11" max="11" width="1.75" style="96" customWidth="1"/>
    <col min="12" max="12" width="2.125" style="96" customWidth="1"/>
    <col min="13" max="13" width="2.375" style="96" customWidth="1"/>
    <col min="14" max="14" width="6.125" style="96" customWidth="1"/>
    <col min="15" max="15" width="4.5" style="96" customWidth="1"/>
    <col min="16" max="16" width="2" style="96" customWidth="1"/>
    <col min="17" max="17" width="1.5" style="96" customWidth="1"/>
    <col min="18" max="18" width="3.75" style="96" customWidth="1"/>
    <col min="19" max="19" width="5.375" style="96" customWidth="1"/>
    <col min="20" max="20" width="3.875" style="96" customWidth="1"/>
    <col min="21" max="21" width="4.375" style="96" customWidth="1"/>
    <col min="22" max="22" width="5.875" style="96" customWidth="1"/>
    <col min="23" max="23" width="5.75" style="96" customWidth="1"/>
    <col min="24" max="24" width="6.25" style="96" customWidth="1"/>
    <col min="25" max="25" width="1.375" style="94" customWidth="1"/>
    <col min="26" max="26" width="3.25" style="95" customWidth="1"/>
    <col min="27" max="27" width="3.75" style="95" customWidth="1"/>
    <col min="28" max="43" width="4.625" style="95"/>
    <col min="44" max="44" width="9.5" style="96" customWidth="1"/>
    <col min="45" max="16384" width="4.625" style="96"/>
  </cols>
  <sheetData>
    <row r="1" spans="2:44" ht="20.25" customHeight="1">
      <c r="B1" s="838" t="s">
        <v>72</v>
      </c>
      <c r="C1" s="839"/>
      <c r="D1" s="839"/>
      <c r="E1" s="839"/>
      <c r="F1" s="839"/>
      <c r="G1" s="839"/>
      <c r="H1" s="839"/>
      <c r="I1" s="839"/>
      <c r="J1" s="839"/>
      <c r="K1" s="839"/>
      <c r="L1" s="839"/>
      <c r="M1" s="839"/>
      <c r="N1" s="839"/>
      <c r="O1" s="839"/>
      <c r="P1" s="839"/>
      <c r="Q1" s="839"/>
      <c r="R1" s="839"/>
      <c r="S1" s="839"/>
      <c r="T1" s="840"/>
      <c r="U1" s="841"/>
      <c r="V1" s="842"/>
      <c r="W1" s="842"/>
      <c r="X1" s="843"/>
      <c r="AB1" s="667" t="s">
        <v>447</v>
      </c>
      <c r="AC1" s="667"/>
      <c r="AD1" s="667"/>
      <c r="AE1" s="667"/>
      <c r="AF1" s="667"/>
      <c r="AG1" s="667"/>
      <c r="AH1" s="667"/>
      <c r="AI1" s="667"/>
      <c r="AJ1" s="667"/>
      <c r="AK1" s="667"/>
      <c r="AL1" s="667"/>
      <c r="AM1" s="667"/>
      <c r="AN1" s="667"/>
      <c r="AO1" s="667"/>
      <c r="AP1" s="667"/>
      <c r="AQ1" s="667"/>
      <c r="AR1" s="667"/>
    </row>
    <row r="2" spans="2:44" ht="13.5" customHeight="1">
      <c r="B2" s="850" t="s">
        <v>75</v>
      </c>
      <c r="C2" s="851"/>
      <c r="D2" s="851"/>
      <c r="E2" s="851"/>
      <c r="F2" s="851"/>
      <c r="G2" s="851"/>
      <c r="H2" s="851"/>
      <c r="I2" s="851"/>
      <c r="J2" s="851"/>
      <c r="K2" s="851"/>
      <c r="L2" s="851"/>
      <c r="M2" s="851"/>
      <c r="N2" s="851"/>
      <c r="O2" s="851"/>
      <c r="P2" s="851"/>
      <c r="Q2" s="851"/>
      <c r="R2" s="851"/>
      <c r="S2" s="851"/>
      <c r="T2" s="852"/>
      <c r="U2" s="844"/>
      <c r="V2" s="845"/>
      <c r="W2" s="845"/>
      <c r="X2" s="846"/>
    </row>
    <row r="3" spans="2:44" ht="13.5" customHeight="1">
      <c r="B3" s="853"/>
      <c r="C3" s="854"/>
      <c r="D3" s="854"/>
      <c r="E3" s="854"/>
      <c r="F3" s="854"/>
      <c r="G3" s="854"/>
      <c r="H3" s="854"/>
      <c r="I3" s="854"/>
      <c r="J3" s="854"/>
      <c r="K3" s="854"/>
      <c r="L3" s="854"/>
      <c r="M3" s="854"/>
      <c r="N3" s="854"/>
      <c r="O3" s="854"/>
      <c r="P3" s="854"/>
      <c r="Q3" s="854"/>
      <c r="R3" s="854"/>
      <c r="S3" s="854"/>
      <c r="T3" s="855"/>
      <c r="U3" s="844"/>
      <c r="V3" s="845"/>
      <c r="W3" s="845"/>
      <c r="X3" s="846"/>
      <c r="AB3" s="676" t="s">
        <v>326</v>
      </c>
      <c r="AC3" s="676"/>
      <c r="AD3" s="676"/>
      <c r="AE3" s="676"/>
      <c r="AF3" s="676"/>
      <c r="AG3" s="676"/>
      <c r="AH3" s="676"/>
      <c r="AI3" s="676"/>
      <c r="AJ3" s="676"/>
      <c r="AK3" s="676"/>
      <c r="AL3" s="676"/>
      <c r="AM3" s="676"/>
      <c r="AN3" s="676"/>
      <c r="AO3" s="676"/>
      <c r="AP3" s="676"/>
      <c r="AQ3" s="676"/>
      <c r="AR3" s="676"/>
    </row>
    <row r="4" spans="2:44" ht="13.5" customHeight="1">
      <c r="B4" s="856"/>
      <c r="C4" s="857"/>
      <c r="D4" s="857"/>
      <c r="E4" s="857"/>
      <c r="F4" s="857"/>
      <c r="G4" s="857"/>
      <c r="H4" s="857"/>
      <c r="I4" s="857"/>
      <c r="J4" s="857"/>
      <c r="K4" s="857"/>
      <c r="L4" s="857"/>
      <c r="M4" s="857"/>
      <c r="N4" s="857"/>
      <c r="O4" s="857"/>
      <c r="P4" s="857"/>
      <c r="Q4" s="857"/>
      <c r="R4" s="857"/>
      <c r="S4" s="857"/>
      <c r="T4" s="858"/>
      <c r="U4" s="847"/>
      <c r="V4" s="848"/>
      <c r="W4" s="848"/>
      <c r="X4" s="849"/>
      <c r="AB4" s="676"/>
      <c r="AC4" s="676"/>
      <c r="AD4" s="676"/>
      <c r="AE4" s="676"/>
      <c r="AF4" s="676"/>
      <c r="AG4" s="676"/>
      <c r="AH4" s="676"/>
      <c r="AI4" s="676"/>
      <c r="AJ4" s="676"/>
      <c r="AK4" s="676"/>
      <c r="AL4" s="676"/>
      <c r="AM4" s="676"/>
      <c r="AN4" s="676"/>
      <c r="AO4" s="676"/>
      <c r="AP4" s="676"/>
      <c r="AQ4" s="676"/>
      <c r="AR4" s="676"/>
    </row>
    <row r="5" spans="2:44" s="41" customFormat="1" ht="14.25" customHeight="1">
      <c r="B5" s="90" t="s">
        <v>0</v>
      </c>
      <c r="C5" s="561" t="s">
        <v>126</v>
      </c>
      <c r="D5" s="561"/>
      <c r="E5" s="562" t="s">
        <v>1</v>
      </c>
      <c r="F5" s="562"/>
      <c r="G5" s="562"/>
      <c r="H5" s="561" t="s">
        <v>118</v>
      </c>
      <c r="I5" s="561"/>
      <c r="J5" s="561"/>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825"/>
      <c r="C6" s="825"/>
      <c r="D6" s="825"/>
      <c r="E6" s="825"/>
      <c r="F6" s="825"/>
      <c r="G6" s="825"/>
      <c r="H6" s="825"/>
      <c r="I6" s="825"/>
      <c r="J6" s="825"/>
      <c r="K6" s="825"/>
      <c r="L6" s="825"/>
      <c r="M6" s="825"/>
      <c r="N6" s="825"/>
      <c r="O6" s="825"/>
      <c r="P6" s="825"/>
      <c r="Q6" s="825"/>
      <c r="R6" s="825"/>
      <c r="S6" s="825"/>
      <c r="T6" s="825"/>
      <c r="U6" s="825"/>
      <c r="V6" s="825"/>
      <c r="W6" s="825"/>
      <c r="X6" s="825"/>
      <c r="AB6" s="675"/>
      <c r="AC6" s="675"/>
      <c r="AD6" s="675"/>
      <c r="AE6" s="675"/>
      <c r="AF6" s="675"/>
      <c r="AG6" s="675"/>
      <c r="AH6" s="675"/>
      <c r="AI6" s="675"/>
      <c r="AJ6" s="675"/>
      <c r="AK6" s="675"/>
      <c r="AL6" s="675"/>
      <c r="AM6" s="675"/>
      <c r="AN6" s="675"/>
      <c r="AO6" s="675"/>
      <c r="AP6" s="676"/>
      <c r="AQ6" s="676"/>
      <c r="AR6" s="678"/>
    </row>
    <row r="7" spans="2:44" ht="14.25" customHeight="1">
      <c r="B7" s="826" t="s">
        <v>76</v>
      </c>
      <c r="C7" s="827"/>
      <c r="D7" s="827"/>
      <c r="E7" s="827"/>
      <c r="F7" s="828"/>
      <c r="G7" s="832" t="s">
        <v>79</v>
      </c>
      <c r="H7" s="833"/>
      <c r="I7" s="833"/>
      <c r="J7" s="833"/>
      <c r="K7" s="833"/>
      <c r="L7" s="833"/>
      <c r="M7" s="833"/>
      <c r="N7" s="833"/>
      <c r="O7" s="833"/>
      <c r="P7" s="833"/>
      <c r="Q7" s="833"/>
      <c r="R7" s="833"/>
      <c r="S7" s="833"/>
      <c r="T7" s="833"/>
      <c r="U7" s="833"/>
      <c r="V7" s="833"/>
      <c r="W7" s="833"/>
      <c r="X7" s="834"/>
      <c r="AB7" s="806">
        <v>2019</v>
      </c>
      <c r="AC7" s="806"/>
      <c r="AD7" s="801" t="s">
        <v>127</v>
      </c>
      <c r="AE7" s="801"/>
      <c r="AF7" s="801"/>
      <c r="AG7" s="801"/>
      <c r="AH7" s="801"/>
      <c r="AI7" s="695">
        <v>0</v>
      </c>
      <c r="AJ7" s="696"/>
      <c r="AK7" s="697"/>
      <c r="AL7" s="673">
        <v>0</v>
      </c>
      <c r="AM7" s="673"/>
      <c r="AN7" s="673"/>
      <c r="AO7" s="673"/>
      <c r="AP7" s="674">
        <v>0</v>
      </c>
      <c r="AQ7" s="674"/>
      <c r="AR7" s="671">
        <v>0</v>
      </c>
    </row>
    <row r="8" spans="2:44" ht="14.25" customHeight="1">
      <c r="B8" s="829"/>
      <c r="C8" s="830"/>
      <c r="D8" s="830"/>
      <c r="E8" s="830"/>
      <c r="F8" s="831"/>
      <c r="G8" s="835"/>
      <c r="H8" s="836"/>
      <c r="I8" s="836"/>
      <c r="J8" s="836"/>
      <c r="K8" s="836"/>
      <c r="L8" s="836"/>
      <c r="M8" s="836"/>
      <c r="N8" s="836"/>
      <c r="O8" s="836"/>
      <c r="P8" s="836"/>
      <c r="Q8" s="836"/>
      <c r="R8" s="836"/>
      <c r="S8" s="836"/>
      <c r="T8" s="836"/>
      <c r="U8" s="836"/>
      <c r="V8" s="836"/>
      <c r="W8" s="836"/>
      <c r="X8" s="837"/>
      <c r="AB8" s="806"/>
      <c r="AC8" s="806"/>
      <c r="AD8" s="801" t="s">
        <v>128</v>
      </c>
      <c r="AE8" s="801"/>
      <c r="AF8" s="801"/>
      <c r="AG8" s="801"/>
      <c r="AH8" s="801"/>
      <c r="AI8" s="698"/>
      <c r="AJ8" s="807"/>
      <c r="AK8" s="700"/>
      <c r="AL8" s="673">
        <v>0</v>
      </c>
      <c r="AM8" s="673"/>
      <c r="AN8" s="673"/>
      <c r="AO8" s="673"/>
      <c r="AP8" s="674">
        <v>0</v>
      </c>
      <c r="AQ8" s="674"/>
      <c r="AR8" s="671"/>
    </row>
    <row r="9" spans="2:44" ht="19.149999999999999" customHeight="1">
      <c r="B9" s="791" t="s">
        <v>49</v>
      </c>
      <c r="C9" s="792"/>
      <c r="D9" s="792"/>
      <c r="E9" s="792"/>
      <c r="F9" s="792"/>
      <c r="G9" s="792"/>
      <c r="H9" s="792"/>
      <c r="I9" s="792"/>
      <c r="J9" s="792"/>
      <c r="K9" s="792"/>
      <c r="L9" s="792"/>
      <c r="M9" s="792"/>
      <c r="N9" s="792"/>
      <c r="O9" s="792"/>
      <c r="P9" s="792"/>
      <c r="Q9" s="792"/>
      <c r="R9" s="792"/>
      <c r="S9" s="792"/>
      <c r="T9" s="792"/>
      <c r="U9" s="792"/>
      <c r="V9" s="792"/>
      <c r="W9" s="792"/>
      <c r="X9" s="793"/>
      <c r="AB9" s="806"/>
      <c r="AC9" s="806"/>
      <c r="AD9" s="801" t="s">
        <v>129</v>
      </c>
      <c r="AE9" s="801"/>
      <c r="AF9" s="801"/>
      <c r="AG9" s="801"/>
      <c r="AH9" s="801"/>
      <c r="AI9" s="698"/>
      <c r="AJ9" s="807"/>
      <c r="AK9" s="700"/>
      <c r="AL9" s="673">
        <v>0</v>
      </c>
      <c r="AM9" s="673"/>
      <c r="AN9" s="673"/>
      <c r="AO9" s="673"/>
      <c r="AP9" s="674">
        <v>0</v>
      </c>
      <c r="AQ9" s="674"/>
      <c r="AR9" s="671"/>
    </row>
    <row r="10" spans="2:44" ht="15" customHeight="1">
      <c r="B10" s="802" t="s">
        <v>4</v>
      </c>
      <c r="C10" s="803"/>
      <c r="D10" s="803"/>
      <c r="E10" s="803"/>
      <c r="F10" s="803"/>
      <c r="G10" s="803"/>
      <c r="H10" s="803"/>
      <c r="I10" s="803"/>
      <c r="J10" s="803"/>
      <c r="K10" s="803"/>
      <c r="L10" s="803"/>
      <c r="M10" s="803"/>
      <c r="N10" s="803"/>
      <c r="O10" s="803"/>
      <c r="P10" s="803"/>
      <c r="Q10" s="803"/>
      <c r="R10" s="803"/>
      <c r="S10" s="803"/>
      <c r="T10" s="803"/>
      <c r="U10" s="803"/>
      <c r="V10" s="803"/>
      <c r="W10" s="803"/>
      <c r="X10" s="803"/>
      <c r="AB10" s="806"/>
      <c r="AC10" s="806"/>
      <c r="AD10" s="801" t="s">
        <v>130</v>
      </c>
      <c r="AE10" s="801"/>
      <c r="AF10" s="801"/>
      <c r="AG10" s="801"/>
      <c r="AH10" s="801"/>
      <c r="AI10" s="701"/>
      <c r="AJ10" s="702"/>
      <c r="AK10" s="703"/>
      <c r="AL10" s="673">
        <v>0</v>
      </c>
      <c r="AM10" s="673"/>
      <c r="AN10" s="673"/>
      <c r="AO10" s="673"/>
      <c r="AP10" s="674">
        <v>0</v>
      </c>
      <c r="AQ10" s="674"/>
      <c r="AR10" s="671"/>
    </row>
    <row r="11" spans="2:44" ht="38.25" customHeight="1">
      <c r="B11" s="823" t="s">
        <v>161</v>
      </c>
      <c r="C11" s="823"/>
      <c r="D11" s="823"/>
      <c r="E11" s="823"/>
      <c r="F11" s="823"/>
      <c r="G11" s="823"/>
      <c r="H11" s="823"/>
      <c r="I11" s="823"/>
      <c r="J11" s="823"/>
      <c r="K11" s="823"/>
      <c r="L11" s="823"/>
      <c r="M11" s="823"/>
      <c r="N11" s="823"/>
      <c r="O11" s="823"/>
      <c r="P11" s="823"/>
      <c r="Q11" s="823"/>
      <c r="R11" s="823"/>
      <c r="S11" s="823"/>
      <c r="T11" s="823"/>
      <c r="U11" s="823"/>
      <c r="V11" s="823"/>
      <c r="W11" s="823"/>
      <c r="X11" s="823"/>
      <c r="AB11" s="805">
        <v>2020</v>
      </c>
      <c r="AC11" s="805"/>
      <c r="AD11" s="797" t="s">
        <v>131</v>
      </c>
      <c r="AE11" s="797"/>
      <c r="AF11" s="797"/>
      <c r="AG11" s="797"/>
      <c r="AH11" s="797"/>
      <c r="AI11" s="742">
        <v>21</v>
      </c>
      <c r="AJ11" s="743"/>
      <c r="AK11" s="744"/>
      <c r="AL11" s="672">
        <v>2</v>
      </c>
      <c r="AM11" s="672"/>
      <c r="AN11" s="672"/>
      <c r="AO11" s="672"/>
      <c r="AP11" s="819">
        <f>AI11-AL11</f>
        <v>19</v>
      </c>
      <c r="AQ11" s="819"/>
      <c r="AR11" s="671">
        <f>1*(AL11+AL12+AL13+AL14)/AI11</f>
        <v>0.61904761904761907</v>
      </c>
    </row>
    <row r="12" spans="2:44" ht="12.75">
      <c r="B12" s="810" t="s">
        <v>56</v>
      </c>
      <c r="C12" s="814"/>
      <c r="D12" s="814"/>
      <c r="E12" s="814"/>
      <c r="F12" s="811"/>
      <c r="G12" s="810" t="s">
        <v>48</v>
      </c>
      <c r="H12" s="814"/>
      <c r="I12" s="814"/>
      <c r="J12" s="811"/>
      <c r="K12" s="810" t="s">
        <v>5</v>
      </c>
      <c r="L12" s="814"/>
      <c r="M12" s="814"/>
      <c r="N12" s="811"/>
      <c r="O12" s="802" t="s">
        <v>6</v>
      </c>
      <c r="P12" s="803"/>
      <c r="Q12" s="803"/>
      <c r="R12" s="803"/>
      <c r="S12" s="803"/>
      <c r="T12" s="803"/>
      <c r="U12" s="803"/>
      <c r="V12" s="803"/>
      <c r="W12" s="803"/>
      <c r="X12" s="804"/>
      <c r="Y12" s="97"/>
      <c r="Z12" s="98"/>
      <c r="AA12" s="98"/>
      <c r="AB12" s="805"/>
      <c r="AC12" s="805"/>
      <c r="AD12" s="797" t="s">
        <v>132</v>
      </c>
      <c r="AE12" s="797"/>
      <c r="AF12" s="797"/>
      <c r="AG12" s="797"/>
      <c r="AH12" s="797"/>
      <c r="AI12" s="745"/>
      <c r="AJ12" s="824"/>
      <c r="AK12" s="747"/>
      <c r="AL12" s="672">
        <v>0</v>
      </c>
      <c r="AM12" s="672"/>
      <c r="AN12" s="672"/>
      <c r="AO12" s="672"/>
      <c r="AP12" s="819">
        <v>0</v>
      </c>
      <c r="AQ12" s="819"/>
      <c r="AR12" s="671"/>
    </row>
    <row r="13" spans="2:44" ht="25.5" customHeight="1">
      <c r="B13" s="812"/>
      <c r="C13" s="815"/>
      <c r="D13" s="815"/>
      <c r="E13" s="815"/>
      <c r="F13" s="813"/>
      <c r="G13" s="812"/>
      <c r="H13" s="815"/>
      <c r="I13" s="815"/>
      <c r="J13" s="813"/>
      <c r="K13" s="812"/>
      <c r="L13" s="815"/>
      <c r="M13" s="815"/>
      <c r="N13" s="813"/>
      <c r="O13" s="802" t="s">
        <v>55</v>
      </c>
      <c r="P13" s="803"/>
      <c r="Q13" s="803"/>
      <c r="R13" s="804"/>
      <c r="S13" s="802" t="s">
        <v>54</v>
      </c>
      <c r="T13" s="803"/>
      <c r="U13" s="804"/>
      <c r="V13" s="802" t="s">
        <v>53</v>
      </c>
      <c r="W13" s="803"/>
      <c r="X13" s="804"/>
      <c r="Y13" s="97"/>
      <c r="Z13" s="98"/>
      <c r="AA13" s="98"/>
      <c r="AB13" s="805"/>
      <c r="AC13" s="805"/>
      <c r="AD13" s="797" t="s">
        <v>133</v>
      </c>
      <c r="AE13" s="797"/>
      <c r="AF13" s="797"/>
      <c r="AG13" s="797"/>
      <c r="AH13" s="797"/>
      <c r="AI13" s="745"/>
      <c r="AJ13" s="824"/>
      <c r="AK13" s="747"/>
      <c r="AL13" s="672">
        <v>6</v>
      </c>
      <c r="AM13" s="672"/>
      <c r="AN13" s="672"/>
      <c r="AO13" s="672"/>
      <c r="AP13" s="819">
        <f>AP11-AL13</f>
        <v>13</v>
      </c>
      <c r="AQ13" s="819"/>
      <c r="AR13" s="671"/>
    </row>
    <row r="14" spans="2:44" ht="47.25" customHeight="1">
      <c r="B14" s="818" t="s">
        <v>347</v>
      </c>
      <c r="C14" s="818"/>
      <c r="D14" s="818"/>
      <c r="E14" s="818"/>
      <c r="F14" s="818"/>
      <c r="G14" s="711" t="s">
        <v>100</v>
      </c>
      <c r="H14" s="711"/>
      <c r="I14" s="711"/>
      <c r="J14" s="711"/>
      <c r="K14" s="711">
        <v>1</v>
      </c>
      <c r="L14" s="711"/>
      <c r="M14" s="711"/>
      <c r="N14" s="711"/>
      <c r="O14" s="820">
        <v>0.21</v>
      </c>
      <c r="P14" s="821"/>
      <c r="Q14" s="821"/>
      <c r="R14" s="822"/>
      <c r="S14" s="591">
        <v>44561</v>
      </c>
      <c r="T14" s="592"/>
      <c r="U14" s="593"/>
      <c r="V14" s="594">
        <v>2021</v>
      </c>
      <c r="W14" s="594"/>
      <c r="X14" s="594"/>
      <c r="AB14" s="805"/>
      <c r="AC14" s="805"/>
      <c r="AD14" s="797" t="s">
        <v>134</v>
      </c>
      <c r="AE14" s="797"/>
      <c r="AF14" s="797"/>
      <c r="AG14" s="797"/>
      <c r="AH14" s="797"/>
      <c r="AI14" s="748"/>
      <c r="AJ14" s="749"/>
      <c r="AK14" s="750"/>
      <c r="AL14" s="672">
        <v>5</v>
      </c>
      <c r="AM14" s="672"/>
      <c r="AN14" s="672"/>
      <c r="AO14" s="672"/>
      <c r="AP14" s="819">
        <f>AL14</f>
        <v>5</v>
      </c>
      <c r="AQ14" s="819"/>
      <c r="AR14" s="671"/>
    </row>
    <row r="15" spans="2:44" ht="18" customHeight="1">
      <c r="B15" s="791" t="s">
        <v>7</v>
      </c>
      <c r="C15" s="792"/>
      <c r="D15" s="792"/>
      <c r="E15" s="792"/>
      <c r="F15" s="792"/>
      <c r="G15" s="792"/>
      <c r="H15" s="792"/>
      <c r="I15" s="792"/>
      <c r="J15" s="792"/>
      <c r="K15" s="792"/>
      <c r="L15" s="792"/>
      <c r="M15" s="792"/>
      <c r="N15" s="792"/>
      <c r="O15" s="792"/>
      <c r="P15" s="792"/>
      <c r="Q15" s="792"/>
      <c r="R15" s="792"/>
      <c r="S15" s="792"/>
      <c r="T15" s="792"/>
      <c r="U15" s="792"/>
      <c r="V15" s="792"/>
      <c r="W15" s="792"/>
      <c r="X15" s="793"/>
      <c r="Z15" s="95" t="s">
        <v>51</v>
      </c>
      <c r="AB15" s="806">
        <v>2021</v>
      </c>
      <c r="AC15" s="806"/>
      <c r="AD15" s="801" t="s">
        <v>135</v>
      </c>
      <c r="AE15" s="801"/>
      <c r="AF15" s="801"/>
      <c r="AG15" s="801"/>
      <c r="AH15" s="801"/>
      <c r="AI15" s="695">
        <v>21</v>
      </c>
      <c r="AJ15" s="696"/>
      <c r="AK15" s="697"/>
      <c r="AL15" s="673">
        <v>4</v>
      </c>
      <c r="AM15" s="673"/>
      <c r="AN15" s="673"/>
      <c r="AO15" s="673"/>
      <c r="AP15" s="674">
        <f>$AL$15/AI15</f>
        <v>0.19047619047619047</v>
      </c>
      <c r="AQ15" s="674"/>
      <c r="AR15" s="671">
        <f t="shared" ref="AR15" si="0">1*(AL15+AL16+AL17+AL18)/AI15</f>
        <v>0.95238095238095233</v>
      </c>
    </row>
    <row r="16" spans="2:44" ht="12.75" customHeight="1">
      <c r="B16" s="808" t="s">
        <v>52</v>
      </c>
      <c r="C16" s="810" t="s">
        <v>8</v>
      </c>
      <c r="D16" s="811"/>
      <c r="E16" s="810" t="s">
        <v>115</v>
      </c>
      <c r="F16" s="811"/>
      <c r="G16" s="810" t="s">
        <v>109</v>
      </c>
      <c r="H16" s="814"/>
      <c r="I16" s="814"/>
      <c r="J16" s="814"/>
      <c r="K16" s="814"/>
      <c r="L16" s="811"/>
      <c r="M16" s="816" t="s">
        <v>116</v>
      </c>
      <c r="N16" s="816"/>
      <c r="O16" s="816"/>
      <c r="P16" s="816"/>
      <c r="Q16" s="816"/>
      <c r="R16" s="816"/>
      <c r="S16" s="816"/>
      <c r="T16" s="816"/>
      <c r="U16" s="816"/>
      <c r="V16" s="816"/>
      <c r="W16" s="816"/>
      <c r="X16" s="816"/>
      <c r="AB16" s="806"/>
      <c r="AC16" s="806"/>
      <c r="AD16" s="801" t="s">
        <v>136</v>
      </c>
      <c r="AE16" s="801"/>
      <c r="AF16" s="801"/>
      <c r="AG16" s="801"/>
      <c r="AH16" s="801"/>
      <c r="AI16" s="698"/>
      <c r="AJ16" s="807"/>
      <c r="AK16" s="700"/>
      <c r="AL16" s="673">
        <v>4</v>
      </c>
      <c r="AM16" s="673"/>
      <c r="AN16" s="673"/>
      <c r="AO16" s="673"/>
      <c r="AP16" s="674">
        <f>AL16/AI15</f>
        <v>0.19047619047619047</v>
      </c>
      <c r="AQ16" s="674"/>
      <c r="AR16" s="671"/>
    </row>
    <row r="17" spans="2:44" ht="12.75" customHeight="1">
      <c r="B17" s="809"/>
      <c r="C17" s="812"/>
      <c r="D17" s="813"/>
      <c r="E17" s="812"/>
      <c r="F17" s="813"/>
      <c r="G17" s="812"/>
      <c r="H17" s="815"/>
      <c r="I17" s="815"/>
      <c r="J17" s="815"/>
      <c r="K17" s="815"/>
      <c r="L17" s="813"/>
      <c r="M17" s="802" t="s">
        <v>121</v>
      </c>
      <c r="N17" s="803"/>
      <c r="O17" s="803"/>
      <c r="P17" s="803"/>
      <c r="Q17" s="804"/>
      <c r="R17" s="802" t="s">
        <v>122</v>
      </c>
      <c r="S17" s="803"/>
      <c r="T17" s="803"/>
      <c r="U17" s="803"/>
      <c r="V17" s="817" t="s">
        <v>117</v>
      </c>
      <c r="W17" s="817"/>
      <c r="X17" s="817"/>
      <c r="AB17" s="806"/>
      <c r="AC17" s="806"/>
      <c r="AD17" s="801" t="s">
        <v>137</v>
      </c>
      <c r="AE17" s="801"/>
      <c r="AF17" s="801"/>
      <c r="AG17" s="801"/>
      <c r="AH17" s="801"/>
      <c r="AI17" s="698"/>
      <c r="AJ17" s="807"/>
      <c r="AK17" s="700"/>
      <c r="AL17" s="673">
        <v>12</v>
      </c>
      <c r="AM17" s="673"/>
      <c r="AN17" s="673"/>
      <c r="AO17" s="673"/>
      <c r="AP17" s="674">
        <f>AL17/AI15</f>
        <v>0.5714285714285714</v>
      </c>
      <c r="AQ17" s="674"/>
      <c r="AR17" s="671"/>
    </row>
    <row r="18" spans="2:44" ht="28.5" customHeight="1">
      <c r="B18" s="100" t="s">
        <v>203</v>
      </c>
      <c r="C18" s="780" t="s">
        <v>112</v>
      </c>
      <c r="D18" s="593"/>
      <c r="E18" s="711">
        <v>0.21</v>
      </c>
      <c r="F18" s="711"/>
      <c r="G18" s="818" t="s">
        <v>348</v>
      </c>
      <c r="H18" s="818"/>
      <c r="I18" s="818"/>
      <c r="J18" s="818"/>
      <c r="K18" s="818"/>
      <c r="L18" s="818"/>
      <c r="M18" s="798" t="s">
        <v>123</v>
      </c>
      <c r="N18" s="798"/>
      <c r="O18" s="798"/>
      <c r="P18" s="798"/>
      <c r="Q18" s="798"/>
      <c r="R18" s="799" t="s">
        <v>124</v>
      </c>
      <c r="S18" s="799"/>
      <c r="T18" s="799"/>
      <c r="U18" s="799"/>
      <c r="V18" s="800" t="s">
        <v>125</v>
      </c>
      <c r="W18" s="800"/>
      <c r="X18" s="800"/>
      <c r="AB18" s="806"/>
      <c r="AC18" s="806"/>
      <c r="AD18" s="801" t="s">
        <v>138</v>
      </c>
      <c r="AE18" s="801"/>
      <c r="AF18" s="801"/>
      <c r="AG18" s="801"/>
      <c r="AH18" s="801"/>
      <c r="AI18" s="701"/>
      <c r="AJ18" s="702"/>
      <c r="AK18" s="703"/>
      <c r="AL18" s="673">
        <v>0</v>
      </c>
      <c r="AM18" s="673"/>
      <c r="AN18" s="673"/>
      <c r="AO18" s="673"/>
      <c r="AP18" s="674">
        <f>AL18/AI15</f>
        <v>0</v>
      </c>
      <c r="AQ18" s="674"/>
      <c r="AR18" s="671"/>
    </row>
    <row r="19" spans="2:44" ht="25.15" customHeight="1">
      <c r="B19" s="802" t="s">
        <v>9</v>
      </c>
      <c r="C19" s="803"/>
      <c r="D19" s="803"/>
      <c r="E19" s="803"/>
      <c r="F19" s="803"/>
      <c r="G19" s="803"/>
      <c r="H19" s="803"/>
      <c r="I19" s="803"/>
      <c r="J19" s="803"/>
      <c r="K19" s="803"/>
      <c r="L19" s="804"/>
      <c r="M19" s="802" t="s">
        <v>10</v>
      </c>
      <c r="N19" s="803"/>
      <c r="O19" s="803"/>
      <c r="P19" s="803"/>
      <c r="Q19" s="803"/>
      <c r="R19" s="803"/>
      <c r="S19" s="803"/>
      <c r="T19" s="803"/>
      <c r="U19" s="803"/>
      <c r="V19" s="803"/>
      <c r="W19" s="803"/>
      <c r="X19" s="804"/>
      <c r="AB19" s="805">
        <v>2022</v>
      </c>
      <c r="AC19" s="805"/>
      <c r="AD19" s="797" t="s">
        <v>139</v>
      </c>
      <c r="AE19" s="797"/>
      <c r="AF19" s="797"/>
      <c r="AG19" s="797"/>
      <c r="AH19" s="797"/>
      <c r="AI19" s="742">
        <v>21</v>
      </c>
      <c r="AJ19" s="743"/>
      <c r="AK19" s="744"/>
      <c r="AL19" s="672">
        <v>1</v>
      </c>
      <c r="AM19" s="672"/>
      <c r="AN19" s="672"/>
      <c r="AO19" s="672"/>
      <c r="AP19" s="671">
        <f t="shared" ref="AP19:AP22" si="1">AL19/AI19</f>
        <v>4.7619047619047616E-2</v>
      </c>
      <c r="AQ19" s="671"/>
      <c r="AR19" s="671">
        <f t="shared" ref="AR19" si="2">1*(AL19+AL20+AL21+AL22)/AI19</f>
        <v>4.7619047619047616E-2</v>
      </c>
    </row>
    <row r="20" spans="2:44" ht="45.4" customHeight="1">
      <c r="B20" s="780" t="s">
        <v>349</v>
      </c>
      <c r="C20" s="592"/>
      <c r="D20" s="592"/>
      <c r="E20" s="592"/>
      <c r="F20" s="592"/>
      <c r="G20" s="592"/>
      <c r="H20" s="592"/>
      <c r="I20" s="592"/>
      <c r="J20" s="592"/>
      <c r="K20" s="592"/>
      <c r="L20" s="593"/>
      <c r="M20" s="780"/>
      <c r="N20" s="592"/>
      <c r="O20" s="592"/>
      <c r="P20" s="592"/>
      <c r="Q20" s="592"/>
      <c r="R20" s="592"/>
      <c r="S20" s="592"/>
      <c r="T20" s="592"/>
      <c r="U20" s="592"/>
      <c r="V20" s="592"/>
      <c r="W20" s="592"/>
      <c r="X20" s="593"/>
      <c r="AA20" s="98"/>
      <c r="AB20" s="805"/>
      <c r="AC20" s="805"/>
      <c r="AD20" s="797" t="s">
        <v>140</v>
      </c>
      <c r="AE20" s="797"/>
      <c r="AF20" s="797"/>
      <c r="AG20" s="797"/>
      <c r="AH20" s="797"/>
      <c r="AI20" s="745"/>
      <c r="AJ20" s="746"/>
      <c r="AK20" s="747"/>
      <c r="AL20" s="672"/>
      <c r="AM20" s="672"/>
      <c r="AN20" s="672"/>
      <c r="AO20" s="672"/>
      <c r="AP20" s="671" t="e">
        <f t="shared" si="1"/>
        <v>#DIV/0!</v>
      </c>
      <c r="AQ20" s="671"/>
      <c r="AR20" s="671"/>
    </row>
    <row r="21" spans="2:44" ht="18.95" customHeight="1">
      <c r="B21" s="791" t="s">
        <v>11</v>
      </c>
      <c r="C21" s="792"/>
      <c r="D21" s="792"/>
      <c r="E21" s="792"/>
      <c r="F21" s="792"/>
      <c r="G21" s="792"/>
      <c r="H21" s="792"/>
      <c r="I21" s="792"/>
      <c r="J21" s="792"/>
      <c r="K21" s="792"/>
      <c r="L21" s="792"/>
      <c r="M21" s="792"/>
      <c r="N21" s="792"/>
      <c r="O21" s="792"/>
      <c r="P21" s="792"/>
      <c r="Q21" s="792"/>
      <c r="R21" s="792"/>
      <c r="S21" s="792"/>
      <c r="T21" s="792"/>
      <c r="U21" s="792"/>
      <c r="V21" s="792"/>
      <c r="W21" s="792"/>
      <c r="X21" s="793"/>
      <c r="AB21" s="805"/>
      <c r="AC21" s="805"/>
      <c r="AD21" s="797" t="s">
        <v>141</v>
      </c>
      <c r="AE21" s="797"/>
      <c r="AF21" s="797"/>
      <c r="AG21" s="797"/>
      <c r="AH21" s="797"/>
      <c r="AI21" s="745"/>
      <c r="AJ21" s="746"/>
      <c r="AK21" s="747"/>
      <c r="AL21" s="672"/>
      <c r="AM21" s="672"/>
      <c r="AN21" s="672"/>
      <c r="AO21" s="672"/>
      <c r="AP21" s="671" t="e">
        <f t="shared" si="1"/>
        <v>#DIV/0!</v>
      </c>
      <c r="AQ21" s="671"/>
      <c r="AR21" s="671"/>
    </row>
    <row r="22" spans="2:44" ht="18.95" customHeight="1">
      <c r="B22" s="790" t="s">
        <v>12</v>
      </c>
      <c r="C22" s="790"/>
      <c r="D22" s="101" t="s">
        <v>13</v>
      </c>
      <c r="E22" s="101" t="s">
        <v>14</v>
      </c>
      <c r="F22" s="101" t="s">
        <v>15</v>
      </c>
      <c r="G22" s="796" t="s">
        <v>16</v>
      </c>
      <c r="H22" s="796"/>
      <c r="I22" s="796"/>
      <c r="J22" s="101" t="s">
        <v>17</v>
      </c>
      <c r="K22" s="796" t="s">
        <v>18</v>
      </c>
      <c r="L22" s="796"/>
      <c r="M22" s="796"/>
      <c r="N22" s="101" t="s">
        <v>19</v>
      </c>
      <c r="O22" s="796" t="s">
        <v>20</v>
      </c>
      <c r="P22" s="796"/>
      <c r="Q22" s="796" t="s">
        <v>21</v>
      </c>
      <c r="R22" s="796"/>
      <c r="S22" s="796"/>
      <c r="T22" s="796" t="s">
        <v>22</v>
      </c>
      <c r="U22" s="796"/>
      <c r="V22" s="796" t="s">
        <v>23</v>
      </c>
      <c r="W22" s="796"/>
      <c r="X22" s="101" t="s">
        <v>24</v>
      </c>
      <c r="AB22" s="805"/>
      <c r="AC22" s="805"/>
      <c r="AD22" s="797" t="s">
        <v>142</v>
      </c>
      <c r="AE22" s="797"/>
      <c r="AF22" s="797"/>
      <c r="AG22" s="797"/>
      <c r="AH22" s="797"/>
      <c r="AI22" s="748"/>
      <c r="AJ22" s="749"/>
      <c r="AK22" s="750"/>
      <c r="AL22" s="672"/>
      <c r="AM22" s="672"/>
      <c r="AN22" s="672"/>
      <c r="AO22" s="672"/>
      <c r="AP22" s="671" t="e">
        <f t="shared" si="1"/>
        <v>#DIV/0!</v>
      </c>
      <c r="AQ22" s="671"/>
      <c r="AR22" s="671"/>
    </row>
    <row r="23" spans="2:44" ht="18.95" customHeight="1">
      <c r="B23" s="790" t="s">
        <v>25</v>
      </c>
      <c r="C23" s="790"/>
      <c r="D23" s="682">
        <f>AL15</f>
        <v>4</v>
      </c>
      <c r="E23" s="592"/>
      <c r="F23" s="593"/>
      <c r="G23" s="682">
        <f>AL16</f>
        <v>4</v>
      </c>
      <c r="H23" s="592"/>
      <c r="I23" s="592"/>
      <c r="J23" s="592"/>
      <c r="K23" s="592"/>
      <c r="L23" s="592"/>
      <c r="M23" s="593"/>
      <c r="N23" s="682">
        <f>AL17</f>
        <v>12</v>
      </c>
      <c r="O23" s="592"/>
      <c r="P23" s="592"/>
      <c r="Q23" s="592"/>
      <c r="R23" s="592"/>
      <c r="S23" s="593"/>
      <c r="T23" s="682">
        <f>AL18</f>
        <v>0</v>
      </c>
      <c r="U23" s="592"/>
      <c r="V23" s="592"/>
      <c r="W23" s="592"/>
      <c r="X23" s="593"/>
      <c r="Z23" s="52"/>
      <c r="AA23" s="52"/>
    </row>
    <row r="24" spans="2:44" ht="18.95" customHeight="1">
      <c r="B24" s="790" t="s">
        <v>26</v>
      </c>
      <c r="C24" s="790"/>
      <c r="D24" s="682">
        <f>AI15</f>
        <v>21</v>
      </c>
      <c r="E24" s="592"/>
      <c r="F24" s="592"/>
      <c r="G24" s="592"/>
      <c r="H24" s="592"/>
      <c r="I24" s="592"/>
      <c r="J24" s="592"/>
      <c r="K24" s="592"/>
      <c r="L24" s="592"/>
      <c r="M24" s="592"/>
      <c r="N24" s="592"/>
      <c r="O24" s="592"/>
      <c r="P24" s="592"/>
      <c r="Q24" s="592"/>
      <c r="R24" s="592"/>
      <c r="S24" s="592"/>
      <c r="T24" s="592"/>
      <c r="U24" s="592"/>
      <c r="V24" s="592"/>
      <c r="W24" s="592"/>
      <c r="X24" s="593"/>
      <c r="Y24" s="97"/>
      <c r="AJ24" s="102"/>
    </row>
    <row r="25" spans="2:44" ht="19.7" customHeight="1">
      <c r="B25" s="791" t="s">
        <v>47</v>
      </c>
      <c r="C25" s="792"/>
      <c r="D25" s="792"/>
      <c r="E25" s="792"/>
      <c r="F25" s="792"/>
      <c r="G25" s="792"/>
      <c r="H25" s="792"/>
      <c r="I25" s="792"/>
      <c r="J25" s="792"/>
      <c r="K25" s="792"/>
      <c r="L25" s="792"/>
      <c r="M25" s="792"/>
      <c r="N25" s="792"/>
      <c r="O25" s="792"/>
      <c r="P25" s="792"/>
      <c r="Q25" s="792"/>
      <c r="R25" s="792"/>
      <c r="S25" s="792"/>
      <c r="T25" s="792"/>
      <c r="U25" s="792"/>
      <c r="V25" s="792"/>
      <c r="W25" s="792"/>
      <c r="X25" s="793"/>
    </row>
    <row r="26" spans="2:44" ht="25.5">
      <c r="B26" s="91" t="s">
        <v>27</v>
      </c>
      <c r="C26" s="91" t="s">
        <v>28</v>
      </c>
      <c r="D26" s="91" t="s">
        <v>29</v>
      </c>
      <c r="E26" s="91" t="s">
        <v>30</v>
      </c>
      <c r="F26" s="103"/>
      <c r="G26" s="103"/>
      <c r="H26" s="767"/>
      <c r="I26" s="767"/>
      <c r="J26" s="767"/>
      <c r="K26" s="767"/>
      <c r="L26" s="767"/>
      <c r="M26" s="767"/>
      <c r="N26" s="767"/>
      <c r="O26" s="767"/>
      <c r="P26" s="767"/>
      <c r="Q26" s="767"/>
      <c r="R26" s="767"/>
      <c r="S26" s="795"/>
      <c r="T26" s="795"/>
      <c r="U26" s="795"/>
      <c r="V26" s="795"/>
      <c r="W26" s="795"/>
      <c r="X26" s="768"/>
    </row>
    <row r="27" spans="2:44" ht="17.649999999999999" customHeight="1">
      <c r="B27" s="93" t="s">
        <v>31</v>
      </c>
      <c r="C27" s="686">
        <f>IF(ISERROR(D23/D24),0,$D$23/$D$24)</f>
        <v>0.19047619047619047</v>
      </c>
      <c r="D27" s="686">
        <f>$E$18</f>
        <v>0.21</v>
      </c>
      <c r="E27" s="92">
        <f>$O$14</f>
        <v>0.21</v>
      </c>
      <c r="H27" s="794"/>
      <c r="I27" s="794"/>
      <c r="J27" s="761"/>
      <c r="K27" s="761"/>
      <c r="L27" s="104"/>
      <c r="M27" s="104"/>
      <c r="N27" s="794"/>
      <c r="O27" s="794"/>
      <c r="P27" s="794"/>
      <c r="Q27" s="794"/>
      <c r="R27" s="794"/>
      <c r="S27" s="786"/>
      <c r="T27" s="786"/>
      <c r="U27" s="786"/>
      <c r="V27" s="786"/>
      <c r="W27" s="786"/>
      <c r="X27" s="787"/>
    </row>
    <row r="28" spans="2:44" ht="17.649999999999999" customHeight="1">
      <c r="B28" s="93" t="s">
        <v>32</v>
      </c>
      <c r="C28" s="687"/>
      <c r="D28" s="687"/>
      <c r="E28" s="92">
        <f t="shared" ref="E28:E37" si="3">$O$14</f>
        <v>0.21</v>
      </c>
      <c r="H28" s="761"/>
      <c r="I28" s="761"/>
      <c r="J28" s="761"/>
      <c r="K28" s="761"/>
      <c r="L28" s="12"/>
      <c r="M28" s="104"/>
      <c r="N28" s="761"/>
      <c r="O28" s="761"/>
      <c r="P28" s="761"/>
      <c r="Q28" s="761"/>
      <c r="R28" s="761"/>
      <c r="S28" s="786"/>
      <c r="T28" s="786"/>
      <c r="U28" s="786"/>
      <c r="V28" s="786"/>
      <c r="W28" s="786"/>
      <c r="X28" s="787"/>
    </row>
    <row r="29" spans="2:44" ht="17.649999999999999" customHeight="1">
      <c r="B29" s="93" t="s">
        <v>33</v>
      </c>
      <c r="C29" s="688"/>
      <c r="D29" s="688"/>
      <c r="E29" s="92">
        <f t="shared" si="3"/>
        <v>0.21</v>
      </c>
      <c r="H29" s="761"/>
      <c r="I29" s="761"/>
      <c r="J29" s="761"/>
      <c r="K29" s="761"/>
      <c r="L29" s="12"/>
      <c r="M29" s="104"/>
      <c r="N29" s="761"/>
      <c r="O29" s="761"/>
      <c r="P29" s="761"/>
      <c r="Q29" s="761"/>
      <c r="R29" s="761"/>
      <c r="S29" s="786"/>
      <c r="T29" s="786"/>
      <c r="U29" s="786"/>
      <c r="V29" s="786"/>
      <c r="W29" s="786"/>
      <c r="X29" s="787"/>
    </row>
    <row r="30" spans="2:44" ht="17.649999999999999" customHeight="1">
      <c r="B30" s="93" t="s">
        <v>34</v>
      </c>
      <c r="C30" s="686">
        <f>IF(ISERROR(G23/G24),0,G23/G24)</f>
        <v>0</v>
      </c>
      <c r="D30" s="686">
        <f t="shared" ref="D30:D36" si="4">$E$18</f>
        <v>0.21</v>
      </c>
      <c r="E30" s="92">
        <f t="shared" si="3"/>
        <v>0.21</v>
      </c>
      <c r="H30" s="761"/>
      <c r="I30" s="761"/>
      <c r="J30" s="761"/>
      <c r="K30" s="761"/>
      <c r="L30" s="12"/>
      <c r="M30" s="104"/>
      <c r="N30" s="761"/>
      <c r="O30" s="761"/>
      <c r="P30" s="761"/>
      <c r="Q30" s="761"/>
      <c r="R30" s="761"/>
      <c r="S30" s="786"/>
      <c r="T30" s="786"/>
      <c r="U30" s="786"/>
      <c r="V30" s="786"/>
      <c r="W30" s="786"/>
      <c r="X30" s="787"/>
    </row>
    <row r="31" spans="2:44" ht="17.649999999999999" customHeight="1">
      <c r="B31" s="93" t="s">
        <v>35</v>
      </c>
      <c r="C31" s="687"/>
      <c r="D31" s="687"/>
      <c r="E31" s="92">
        <f t="shared" si="3"/>
        <v>0.21</v>
      </c>
      <c r="H31" s="761"/>
      <c r="I31" s="761"/>
      <c r="J31" s="761"/>
      <c r="K31" s="761"/>
      <c r="L31" s="12"/>
      <c r="M31" s="104"/>
      <c r="N31" s="761"/>
      <c r="O31" s="761"/>
      <c r="P31" s="761"/>
      <c r="Q31" s="761"/>
      <c r="R31" s="761"/>
      <c r="S31" s="786"/>
      <c r="T31" s="786"/>
      <c r="U31" s="786"/>
      <c r="V31" s="786"/>
      <c r="W31" s="786"/>
      <c r="X31" s="787"/>
    </row>
    <row r="32" spans="2:44" ht="17.649999999999999" customHeight="1">
      <c r="B32" s="93" t="s">
        <v>36</v>
      </c>
      <c r="C32" s="688"/>
      <c r="D32" s="688"/>
      <c r="E32" s="92">
        <f t="shared" si="3"/>
        <v>0.21</v>
      </c>
      <c r="H32" s="761"/>
      <c r="I32" s="761"/>
      <c r="J32" s="761"/>
      <c r="K32" s="761"/>
      <c r="L32" s="12"/>
      <c r="M32" s="104"/>
      <c r="N32" s="761"/>
      <c r="O32" s="761"/>
      <c r="P32" s="761"/>
      <c r="Q32" s="761"/>
      <c r="R32" s="761"/>
      <c r="S32" s="786"/>
      <c r="T32" s="786"/>
      <c r="U32" s="786"/>
      <c r="V32" s="786"/>
      <c r="W32" s="786"/>
      <c r="X32" s="787"/>
    </row>
    <row r="33" spans="2:27" ht="17.649999999999999" customHeight="1">
      <c r="B33" s="93" t="s">
        <v>37</v>
      </c>
      <c r="C33" s="686">
        <f>IF(ISERROR(N23/N24),0,T23/T24)</f>
        <v>0</v>
      </c>
      <c r="D33" s="686">
        <f t="shared" si="4"/>
        <v>0.21</v>
      </c>
      <c r="E33" s="92">
        <f t="shared" si="3"/>
        <v>0.21</v>
      </c>
      <c r="H33" s="761"/>
      <c r="I33" s="761"/>
      <c r="J33" s="761"/>
      <c r="K33" s="761"/>
      <c r="L33" s="12"/>
      <c r="M33" s="104"/>
      <c r="N33" s="761"/>
      <c r="O33" s="761"/>
      <c r="P33" s="761"/>
      <c r="Q33" s="761"/>
      <c r="R33" s="761"/>
      <c r="S33" s="786"/>
      <c r="T33" s="786"/>
      <c r="U33" s="786"/>
      <c r="V33" s="786"/>
      <c r="W33" s="786"/>
      <c r="X33" s="787"/>
    </row>
    <row r="34" spans="2:27" ht="17.649999999999999" customHeight="1">
      <c r="B34" s="93" t="s">
        <v>38</v>
      </c>
      <c r="C34" s="687"/>
      <c r="D34" s="687"/>
      <c r="E34" s="92">
        <f t="shared" si="3"/>
        <v>0.21</v>
      </c>
      <c r="H34" s="761"/>
      <c r="I34" s="761"/>
      <c r="J34" s="761"/>
      <c r="K34" s="761"/>
      <c r="L34" s="12"/>
      <c r="M34" s="104"/>
      <c r="N34" s="761"/>
      <c r="O34" s="761"/>
      <c r="P34" s="761"/>
      <c r="Q34" s="761"/>
      <c r="R34" s="761"/>
      <c r="S34" s="786"/>
      <c r="T34" s="786"/>
      <c r="U34" s="786"/>
      <c r="V34" s="786"/>
      <c r="W34" s="786"/>
      <c r="X34" s="787"/>
    </row>
    <row r="35" spans="2:27" ht="17.649999999999999" customHeight="1">
      <c r="B35" s="93" t="s">
        <v>39</v>
      </c>
      <c r="C35" s="688"/>
      <c r="D35" s="688"/>
      <c r="E35" s="92">
        <f t="shared" si="3"/>
        <v>0.21</v>
      </c>
      <c r="H35" s="761"/>
      <c r="I35" s="761"/>
      <c r="J35" s="761"/>
      <c r="K35" s="761"/>
      <c r="L35" s="12"/>
      <c r="M35" s="104"/>
      <c r="N35" s="761"/>
      <c r="O35" s="761"/>
      <c r="P35" s="761"/>
      <c r="Q35" s="761"/>
      <c r="R35" s="761"/>
      <c r="S35" s="786"/>
      <c r="T35" s="786"/>
      <c r="U35" s="786"/>
      <c r="V35" s="786"/>
      <c r="W35" s="786"/>
      <c r="X35" s="787"/>
    </row>
    <row r="36" spans="2:27" ht="17.649999999999999" customHeight="1">
      <c r="B36" s="93" t="s">
        <v>40</v>
      </c>
      <c r="C36" s="686">
        <f>IF(ISERROR(T23/T24),0,T23/T24)</f>
        <v>0</v>
      </c>
      <c r="D36" s="686">
        <f t="shared" si="4"/>
        <v>0.21</v>
      </c>
      <c r="E36" s="92">
        <f t="shared" si="3"/>
        <v>0.21</v>
      </c>
      <c r="H36" s="761"/>
      <c r="I36" s="761"/>
      <c r="J36" s="761"/>
      <c r="K36" s="761"/>
      <c r="L36" s="12"/>
      <c r="M36" s="104"/>
      <c r="N36" s="761"/>
      <c r="O36" s="761"/>
      <c r="P36" s="761"/>
      <c r="Q36" s="761"/>
      <c r="R36" s="761"/>
      <c r="S36" s="786"/>
      <c r="T36" s="786"/>
      <c r="U36" s="786"/>
      <c r="V36" s="786"/>
      <c r="W36" s="786"/>
      <c r="X36" s="787"/>
    </row>
    <row r="37" spans="2:27" ht="17.649999999999999" customHeight="1">
      <c r="B37" s="93" t="s">
        <v>41</v>
      </c>
      <c r="C37" s="687"/>
      <c r="D37" s="687"/>
      <c r="E37" s="92">
        <f t="shared" si="3"/>
        <v>0.21</v>
      </c>
      <c r="H37" s="761"/>
      <c r="I37" s="761"/>
      <c r="J37" s="761"/>
      <c r="K37" s="761"/>
      <c r="L37" s="12"/>
      <c r="M37" s="104"/>
      <c r="N37" s="761"/>
      <c r="O37" s="761"/>
      <c r="P37" s="761"/>
      <c r="Q37" s="761"/>
      <c r="R37" s="761"/>
      <c r="S37" s="786"/>
      <c r="T37" s="786"/>
      <c r="U37" s="786"/>
      <c r="V37" s="786"/>
      <c r="W37" s="786"/>
      <c r="X37" s="787"/>
    </row>
    <row r="38" spans="2:27" ht="17.649999999999999" customHeight="1">
      <c r="B38" s="93" t="s">
        <v>42</v>
      </c>
      <c r="C38" s="688"/>
      <c r="D38" s="688"/>
      <c r="E38" s="92">
        <v>0</v>
      </c>
      <c r="F38" s="105"/>
      <c r="G38" s="105"/>
      <c r="H38" s="775"/>
      <c r="I38" s="775"/>
      <c r="J38" s="775"/>
      <c r="K38" s="775"/>
      <c r="L38" s="7"/>
      <c r="M38" s="106"/>
      <c r="N38" s="775"/>
      <c r="O38" s="775"/>
      <c r="P38" s="775"/>
      <c r="Q38" s="775"/>
      <c r="R38" s="775"/>
      <c r="S38" s="788"/>
      <c r="T38" s="788"/>
      <c r="U38" s="788"/>
      <c r="V38" s="788"/>
      <c r="W38" s="788"/>
      <c r="X38" s="789"/>
    </row>
    <row r="39" spans="2:27" ht="8.4499999999999993" customHeight="1">
      <c r="B39" s="107"/>
      <c r="C39" s="103"/>
      <c r="D39" s="103"/>
      <c r="E39" s="103"/>
      <c r="F39" s="103"/>
      <c r="G39" s="103"/>
      <c r="H39" s="103"/>
      <c r="I39" s="103"/>
      <c r="J39" s="103"/>
      <c r="K39" s="103"/>
      <c r="L39" s="103"/>
      <c r="M39" s="103"/>
      <c r="N39" s="103"/>
      <c r="O39" s="103"/>
      <c r="P39" s="103"/>
      <c r="Q39" s="103"/>
      <c r="R39" s="103"/>
      <c r="S39" s="103"/>
      <c r="T39" s="103"/>
      <c r="U39" s="103"/>
      <c r="V39" s="103"/>
      <c r="W39" s="103"/>
      <c r="X39" s="108"/>
    </row>
    <row r="40" spans="2:27" ht="15.75" customHeight="1">
      <c r="B40" s="762" t="s">
        <v>50</v>
      </c>
      <c r="C40" s="763"/>
      <c r="D40" s="763"/>
      <c r="E40" s="763"/>
      <c r="F40" s="763"/>
      <c r="G40" s="763"/>
      <c r="H40" s="763"/>
      <c r="I40" s="763"/>
      <c r="J40" s="763"/>
      <c r="K40" s="763"/>
      <c r="L40" s="763"/>
      <c r="M40" s="763"/>
      <c r="N40" s="763"/>
      <c r="O40" s="763"/>
      <c r="P40" s="763"/>
      <c r="Q40" s="763"/>
      <c r="R40" s="763"/>
      <c r="S40" s="763"/>
      <c r="T40" s="763"/>
      <c r="U40" s="763"/>
      <c r="V40" s="763"/>
      <c r="W40" s="763"/>
      <c r="X40" s="764"/>
    </row>
    <row r="41" spans="2:27" ht="107.25" customHeight="1">
      <c r="B41" s="765" t="s">
        <v>449</v>
      </c>
      <c r="C41" s="765"/>
      <c r="D41" s="765"/>
      <c r="E41" s="765"/>
      <c r="F41" s="765"/>
      <c r="G41" s="765"/>
      <c r="H41" s="765"/>
      <c r="I41" s="765"/>
      <c r="J41" s="765"/>
      <c r="K41" s="765"/>
      <c r="L41" s="765"/>
      <c r="M41" s="765"/>
      <c r="N41" s="765"/>
      <c r="O41" s="765"/>
      <c r="P41" s="765"/>
      <c r="Q41" s="765"/>
      <c r="R41" s="765"/>
      <c r="S41" s="765"/>
      <c r="T41" s="765"/>
      <c r="U41" s="765"/>
      <c r="V41" s="765"/>
      <c r="W41" s="765"/>
      <c r="X41" s="765"/>
      <c r="Y41" s="109"/>
      <c r="Z41" s="110"/>
      <c r="AA41" s="110"/>
    </row>
    <row r="42" spans="2:27" ht="10.5" customHeight="1">
      <c r="B42" s="766"/>
      <c r="C42" s="767"/>
      <c r="D42" s="767"/>
      <c r="E42" s="767"/>
      <c r="F42" s="767"/>
      <c r="G42" s="767"/>
      <c r="H42" s="767"/>
      <c r="I42" s="767"/>
      <c r="J42" s="767"/>
      <c r="K42" s="767"/>
      <c r="L42" s="767"/>
      <c r="M42" s="767"/>
      <c r="N42" s="767"/>
      <c r="O42" s="767"/>
      <c r="P42" s="767"/>
      <c r="Q42" s="767"/>
      <c r="R42" s="767"/>
      <c r="S42" s="767"/>
      <c r="T42" s="767"/>
      <c r="U42" s="767"/>
      <c r="V42" s="767"/>
      <c r="W42" s="767"/>
      <c r="X42" s="768"/>
      <c r="Y42" s="111"/>
      <c r="Z42" s="57"/>
      <c r="AA42" s="58"/>
    </row>
    <row r="43" spans="2:27" ht="18" customHeight="1">
      <c r="B43" s="769" t="s">
        <v>43</v>
      </c>
      <c r="C43" s="770"/>
      <c r="D43" s="770"/>
      <c r="E43" s="770"/>
      <c r="F43" s="770"/>
      <c r="G43" s="770"/>
      <c r="H43" s="770"/>
      <c r="I43" s="770"/>
      <c r="J43" s="770"/>
      <c r="K43" s="770"/>
      <c r="L43" s="770"/>
      <c r="M43" s="770"/>
      <c r="N43" s="770"/>
      <c r="O43" s="770"/>
      <c r="P43" s="770"/>
      <c r="Q43" s="770"/>
      <c r="R43" s="770"/>
      <c r="S43" s="770"/>
      <c r="T43" s="770"/>
      <c r="U43" s="770"/>
      <c r="V43" s="770"/>
      <c r="W43" s="770"/>
      <c r="X43" s="771"/>
      <c r="Y43" s="111"/>
      <c r="Z43" s="57"/>
      <c r="AA43" s="58"/>
    </row>
    <row r="44" spans="2:27" ht="57.75" customHeight="1">
      <c r="B44" s="772" t="s">
        <v>350</v>
      </c>
      <c r="C44" s="773"/>
      <c r="D44" s="773"/>
      <c r="E44" s="773"/>
      <c r="F44" s="773"/>
      <c r="G44" s="773"/>
      <c r="H44" s="773"/>
      <c r="I44" s="773"/>
      <c r="J44" s="773"/>
      <c r="K44" s="773"/>
      <c r="L44" s="773"/>
      <c r="M44" s="773"/>
      <c r="N44" s="773"/>
      <c r="O44" s="773"/>
      <c r="P44" s="773"/>
      <c r="Q44" s="773"/>
      <c r="R44" s="773"/>
      <c r="S44" s="773"/>
      <c r="T44" s="773"/>
      <c r="U44" s="773"/>
      <c r="V44" s="773"/>
      <c r="W44" s="773"/>
      <c r="X44" s="774"/>
      <c r="Y44" s="111"/>
      <c r="Z44" s="57"/>
      <c r="AA44" s="58"/>
    </row>
    <row r="45" spans="2:27" ht="8.4499999999999993" customHeight="1">
      <c r="B45" s="107"/>
      <c r="C45" s="103"/>
      <c r="D45" s="103"/>
      <c r="E45" s="103"/>
      <c r="F45" s="103"/>
      <c r="G45" s="767"/>
      <c r="H45" s="767"/>
      <c r="I45" s="767"/>
      <c r="J45" s="767"/>
      <c r="K45" s="767"/>
      <c r="L45" s="767"/>
      <c r="M45" s="103"/>
      <c r="N45" s="103"/>
      <c r="O45" s="103"/>
      <c r="P45" s="103"/>
      <c r="Q45" s="103"/>
      <c r="R45" s="103"/>
      <c r="S45" s="103"/>
      <c r="T45" s="103"/>
      <c r="U45" s="103"/>
      <c r="V45" s="103"/>
      <c r="W45" s="103"/>
      <c r="X45" s="108"/>
      <c r="Y45" s="111"/>
      <c r="Z45" s="57"/>
      <c r="AA45" s="58"/>
    </row>
    <row r="46" spans="2:27" ht="12.75">
      <c r="B46" s="776" t="s">
        <v>44</v>
      </c>
      <c r="C46" s="777"/>
      <c r="D46" s="777"/>
      <c r="E46" s="777"/>
      <c r="F46" s="777"/>
      <c r="G46" s="777"/>
      <c r="H46" s="777"/>
      <c r="J46" s="112" t="s">
        <v>45</v>
      </c>
      <c r="L46" s="778" t="s">
        <v>351</v>
      </c>
      <c r="M46" s="779"/>
      <c r="O46" s="104" t="s">
        <v>46</v>
      </c>
      <c r="Q46" s="780"/>
      <c r="R46" s="593"/>
      <c r="X46" s="113"/>
      <c r="Y46" s="111"/>
      <c r="Z46" s="57"/>
      <c r="AA46" s="58"/>
    </row>
    <row r="47" spans="2:27" ht="8.4499999999999993" customHeight="1">
      <c r="B47" s="114"/>
      <c r="I47" s="781"/>
      <c r="J47" s="781"/>
      <c r="K47" s="781"/>
      <c r="L47" s="781"/>
      <c r="M47" s="781"/>
      <c r="N47" s="781"/>
      <c r="O47" s="781"/>
      <c r="P47" s="781"/>
      <c r="Q47" s="781"/>
      <c r="R47" s="781"/>
      <c r="S47" s="781"/>
      <c r="T47" s="781"/>
      <c r="U47" s="781"/>
      <c r="V47" s="781"/>
      <c r="W47" s="781"/>
      <c r="X47" s="782"/>
      <c r="Y47" s="111"/>
      <c r="Z47" s="57"/>
      <c r="AA47" s="58"/>
    </row>
    <row r="48" spans="2:27" ht="35.25" customHeight="1">
      <c r="B48" s="783" t="s">
        <v>57</v>
      </c>
      <c r="C48" s="784"/>
      <c r="D48" s="784"/>
      <c r="E48" s="784"/>
      <c r="F48" s="784"/>
      <c r="G48" s="784"/>
      <c r="H48" s="784"/>
      <c r="I48" s="784"/>
      <c r="J48" s="784"/>
      <c r="K48" s="784"/>
      <c r="L48" s="784"/>
      <c r="M48" s="784"/>
      <c r="N48" s="784"/>
      <c r="O48" s="784"/>
      <c r="P48" s="784"/>
      <c r="Q48" s="784"/>
      <c r="R48" s="784"/>
      <c r="S48" s="784"/>
      <c r="T48" s="784"/>
      <c r="U48" s="784"/>
      <c r="V48" s="784"/>
      <c r="W48" s="784"/>
      <c r="X48" s="785"/>
      <c r="Y48" s="111"/>
      <c r="Z48" s="57"/>
      <c r="AA48" s="58"/>
    </row>
    <row r="49" spans="2:27" ht="8.4499999999999993" customHeight="1">
      <c r="B49" s="115"/>
      <c r="C49" s="105"/>
      <c r="D49" s="105"/>
      <c r="E49" s="105"/>
      <c r="F49" s="105"/>
      <c r="G49" s="116"/>
      <c r="H49" s="105"/>
      <c r="I49" s="16"/>
      <c r="J49" s="35"/>
      <c r="K49" s="7"/>
      <c r="L49" s="105"/>
      <c r="M49" s="105"/>
      <c r="N49" s="105"/>
      <c r="O49" s="105"/>
      <c r="P49" s="105"/>
      <c r="Q49" s="105"/>
      <c r="R49" s="105"/>
      <c r="S49" s="105"/>
      <c r="T49" s="105"/>
      <c r="U49" s="105"/>
      <c r="V49" s="105"/>
      <c r="W49" s="105"/>
      <c r="X49" s="117"/>
      <c r="Y49" s="111"/>
      <c r="Z49" s="57"/>
      <c r="AA49" s="58"/>
    </row>
    <row r="50" spans="2:27" ht="13.5" customHeight="1">
      <c r="G50" s="761"/>
      <c r="H50" s="761"/>
      <c r="I50" s="761"/>
      <c r="J50" s="761"/>
      <c r="K50" s="761"/>
      <c r="L50" s="761"/>
      <c r="M50" s="761"/>
      <c r="N50" s="761"/>
      <c r="O50" s="761"/>
      <c r="P50" s="761"/>
      <c r="Q50" s="761"/>
      <c r="R50" s="761"/>
      <c r="S50" s="761"/>
      <c r="T50" s="761"/>
      <c r="U50" s="761"/>
      <c r="V50" s="761"/>
      <c r="W50" s="761"/>
      <c r="X50" s="761"/>
      <c r="Y50" s="111"/>
      <c r="Z50" s="57"/>
      <c r="AA50" s="58"/>
    </row>
  </sheetData>
  <sheetProtection selectLockedCells="1" selectUnlockedCells="1"/>
  <mergeCells count="206">
    <mergeCell ref="B1:T1"/>
    <mergeCell ref="U1:X4"/>
    <mergeCell ref="B2:T4"/>
    <mergeCell ref="AB3:AR4"/>
    <mergeCell ref="C5:D5"/>
    <mergeCell ref="E5:G5"/>
    <mergeCell ref="H5:J5"/>
    <mergeCell ref="K5:N5"/>
    <mergeCell ref="O5:R5"/>
    <mergeCell ref="S5:V5"/>
    <mergeCell ref="AB1:AR1"/>
    <mergeCell ref="AD8:AH8"/>
    <mergeCell ref="AL8:AO8"/>
    <mergeCell ref="AP8:AQ8"/>
    <mergeCell ref="B9:X9"/>
    <mergeCell ref="AD9:AH9"/>
    <mergeCell ref="AL9:AO9"/>
    <mergeCell ref="AP9:AQ9"/>
    <mergeCell ref="AR5:AR6"/>
    <mergeCell ref="B6:X6"/>
    <mergeCell ref="B7:F8"/>
    <mergeCell ref="G7:X8"/>
    <mergeCell ref="AB7:AC10"/>
    <mergeCell ref="AD7:AH7"/>
    <mergeCell ref="AI7:AK10"/>
    <mergeCell ref="AL7:AO7"/>
    <mergeCell ref="AP7:AQ7"/>
    <mergeCell ref="AR7:AR10"/>
    <mergeCell ref="W5:X5"/>
    <mergeCell ref="AB5:AC6"/>
    <mergeCell ref="AD5:AH6"/>
    <mergeCell ref="AI5:AK6"/>
    <mergeCell ref="AL5:AO6"/>
    <mergeCell ref="AP5:AQ6"/>
    <mergeCell ref="B10:X10"/>
    <mergeCell ref="AD10:AH10"/>
    <mergeCell ref="AL10:AO10"/>
    <mergeCell ref="AP10:AQ10"/>
    <mergeCell ref="B11:X11"/>
    <mergeCell ref="AB11:AC14"/>
    <mergeCell ref="AD11:AH11"/>
    <mergeCell ref="AI11:AK14"/>
    <mergeCell ref="AL11:AO11"/>
    <mergeCell ref="AP11:AQ11"/>
    <mergeCell ref="AR11:AR14"/>
    <mergeCell ref="B12:F13"/>
    <mergeCell ref="G12:J13"/>
    <mergeCell ref="K12:N13"/>
    <mergeCell ref="O12:X12"/>
    <mergeCell ref="AD12:AH12"/>
    <mergeCell ref="AL12:AO12"/>
    <mergeCell ref="AP12:AQ12"/>
    <mergeCell ref="O13:R13"/>
    <mergeCell ref="S13:U13"/>
    <mergeCell ref="V13:X13"/>
    <mergeCell ref="AD13:AH13"/>
    <mergeCell ref="AL13:AO13"/>
    <mergeCell ref="AP13:AQ13"/>
    <mergeCell ref="B14:F14"/>
    <mergeCell ref="G14:J14"/>
    <mergeCell ref="K14:N14"/>
    <mergeCell ref="O14:R14"/>
    <mergeCell ref="S14:U14"/>
    <mergeCell ref="V14:X14"/>
    <mergeCell ref="AD14:AH14"/>
    <mergeCell ref="AL14:AO14"/>
    <mergeCell ref="AP14:AQ14"/>
    <mergeCell ref="B15:X15"/>
    <mergeCell ref="AB15:AC18"/>
    <mergeCell ref="AD15:AH15"/>
    <mergeCell ref="AI15:AK18"/>
    <mergeCell ref="AL15:AO15"/>
    <mergeCell ref="AP15:AQ15"/>
    <mergeCell ref="R17:U17"/>
    <mergeCell ref="AR15:AR18"/>
    <mergeCell ref="B16:B17"/>
    <mergeCell ref="C16:D17"/>
    <mergeCell ref="E16:F17"/>
    <mergeCell ref="G16:L17"/>
    <mergeCell ref="M16:X16"/>
    <mergeCell ref="AD16:AH16"/>
    <mergeCell ref="AL16:AO16"/>
    <mergeCell ref="AP16:AQ16"/>
    <mergeCell ref="M17:Q17"/>
    <mergeCell ref="V17:X17"/>
    <mergeCell ref="AD17:AH17"/>
    <mergeCell ref="AL17:AO17"/>
    <mergeCell ref="AP17:AQ17"/>
    <mergeCell ref="C18:D18"/>
    <mergeCell ref="E18:F18"/>
    <mergeCell ref="G18:L18"/>
    <mergeCell ref="M18:Q18"/>
    <mergeCell ref="R18:U18"/>
    <mergeCell ref="V18:X18"/>
    <mergeCell ref="AD18:AH18"/>
    <mergeCell ref="AL18:AO18"/>
    <mergeCell ref="AP18:AQ18"/>
    <mergeCell ref="B19:L19"/>
    <mergeCell ref="M19:X19"/>
    <mergeCell ref="AB19:AC22"/>
    <mergeCell ref="AD19:AH19"/>
    <mergeCell ref="AL19:AO19"/>
    <mergeCell ref="AP19:AQ19"/>
    <mergeCell ref="AI19:AK22"/>
    <mergeCell ref="AR19:AR22"/>
    <mergeCell ref="B20:L20"/>
    <mergeCell ref="M20:X20"/>
    <mergeCell ref="AD20:AH20"/>
    <mergeCell ref="AL20:AO20"/>
    <mergeCell ref="AP20:AQ20"/>
    <mergeCell ref="B21:X21"/>
    <mergeCell ref="AD21:AH21"/>
    <mergeCell ref="AL22:AO22"/>
    <mergeCell ref="AP22:AQ22"/>
    <mergeCell ref="B23:C23"/>
    <mergeCell ref="D23:F23"/>
    <mergeCell ref="G23:M23"/>
    <mergeCell ref="N23:S23"/>
    <mergeCell ref="T23:X23"/>
    <mergeCell ref="AL21:AO21"/>
    <mergeCell ref="AP21:AQ21"/>
    <mergeCell ref="B22:C22"/>
    <mergeCell ref="G22:I22"/>
    <mergeCell ref="K22:M22"/>
    <mergeCell ref="O22:P22"/>
    <mergeCell ref="Q22:S22"/>
    <mergeCell ref="T22:U22"/>
    <mergeCell ref="V22:W22"/>
    <mergeCell ref="AD22:AH22"/>
    <mergeCell ref="B24:C24"/>
    <mergeCell ref="D24:X24"/>
    <mergeCell ref="B25:X25"/>
    <mergeCell ref="H26:I27"/>
    <mergeCell ref="J26:M26"/>
    <mergeCell ref="N26:O27"/>
    <mergeCell ref="P26:R27"/>
    <mergeCell ref="S26:X26"/>
    <mergeCell ref="C27:C29"/>
    <mergeCell ref="P29:R29"/>
    <mergeCell ref="C30:C32"/>
    <mergeCell ref="D30:D32"/>
    <mergeCell ref="H30:I30"/>
    <mergeCell ref="J30:K30"/>
    <mergeCell ref="N30:O30"/>
    <mergeCell ref="P30:R30"/>
    <mergeCell ref="H31:I31"/>
    <mergeCell ref="J31:K31"/>
    <mergeCell ref="D27:D29"/>
    <mergeCell ref="J27:K27"/>
    <mergeCell ref="H28:I28"/>
    <mergeCell ref="J28:K28"/>
    <mergeCell ref="N28:O28"/>
    <mergeCell ref="P28:R28"/>
    <mergeCell ref="H29:I29"/>
    <mergeCell ref="J29:K29"/>
    <mergeCell ref="N29:O29"/>
    <mergeCell ref="N31:O31"/>
    <mergeCell ref="P31:R31"/>
    <mergeCell ref="H32:I32"/>
    <mergeCell ref="J32:K32"/>
    <mergeCell ref="N32:O32"/>
    <mergeCell ref="P32:R32"/>
    <mergeCell ref="P37:R37"/>
    <mergeCell ref="P33:R33"/>
    <mergeCell ref="H34:I34"/>
    <mergeCell ref="J34:K34"/>
    <mergeCell ref="N34:O34"/>
    <mergeCell ref="P34:R34"/>
    <mergeCell ref="H35:I35"/>
    <mergeCell ref="J35:K35"/>
    <mergeCell ref="N35:O35"/>
    <mergeCell ref="P35:R35"/>
    <mergeCell ref="H38:I38"/>
    <mergeCell ref="J38:K38"/>
    <mergeCell ref="N38:O38"/>
    <mergeCell ref="P38:R38"/>
    <mergeCell ref="B46:H46"/>
    <mergeCell ref="L46:M46"/>
    <mergeCell ref="Q46:R46"/>
    <mergeCell ref="I47:X47"/>
    <mergeCell ref="B48:X48"/>
    <mergeCell ref="C36:C38"/>
    <mergeCell ref="D36:D38"/>
    <mergeCell ref="H36:I36"/>
    <mergeCell ref="J36:K36"/>
    <mergeCell ref="N36:O36"/>
    <mergeCell ref="S27:X38"/>
    <mergeCell ref="C33:C35"/>
    <mergeCell ref="D33:D35"/>
    <mergeCell ref="H33:I33"/>
    <mergeCell ref="J33:K33"/>
    <mergeCell ref="N33:O33"/>
    <mergeCell ref="P36:R36"/>
    <mergeCell ref="H37:I37"/>
    <mergeCell ref="J37:K37"/>
    <mergeCell ref="N37:O37"/>
    <mergeCell ref="G50:H50"/>
    <mergeCell ref="I50:X50"/>
    <mergeCell ref="B40:X40"/>
    <mergeCell ref="B41:X41"/>
    <mergeCell ref="B42:X42"/>
    <mergeCell ref="B43:X43"/>
    <mergeCell ref="B44:X44"/>
    <mergeCell ref="G45:H45"/>
    <mergeCell ref="I45:J45"/>
    <mergeCell ref="K45:L45"/>
  </mergeCells>
  <pageMargins left="0.23622047244094491" right="0.23622047244094491" top="0.31496062992125984" bottom="0" header="0.51181102362204722" footer="0.51181102362204722"/>
  <pageSetup scale="75" firstPageNumber="0" pageOrder="overThenDown" orientation="portrait"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tabColor theme="7" tint="0.39997558519241921"/>
    <pageSetUpPr fitToPage="1"/>
  </sheetPr>
  <dimension ref="B1:AR50"/>
  <sheetViews>
    <sheetView zoomScale="80" zoomScaleNormal="80" zoomScaleSheetLayoutView="100" workbookViewId="0">
      <selection activeCell="AG27" sqref="AG2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125" style="46" customWidth="1"/>
    <col min="28" max="33" width="4.625" style="46"/>
    <col min="34" max="34" width="5" style="46" customWidth="1"/>
    <col min="35" max="36" width="4.625" style="46"/>
    <col min="37" max="37" width="5.375" style="46" customWidth="1"/>
    <col min="38" max="43" width="4.625" style="46"/>
    <col min="44" max="44" width="9.1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80</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4370162620</v>
      </c>
      <c r="AJ7" s="866"/>
      <c r="AK7" s="866"/>
      <c r="AL7" s="866">
        <v>4370167620</v>
      </c>
      <c r="AM7" s="866"/>
      <c r="AN7" s="866"/>
      <c r="AO7" s="866"/>
      <c r="AP7" s="674">
        <f t="shared" ref="AP7:AP10" si="0">AL7/AI7</f>
        <v>1.0000011441221837</v>
      </c>
      <c r="AQ7" s="674"/>
      <c r="AR7" s="668">
        <f>SUM(AP7:AQ10)/4</f>
        <v>1.0000002860305459</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4368563814</v>
      </c>
      <c r="AJ8" s="866"/>
      <c r="AK8" s="866"/>
      <c r="AL8" s="866">
        <v>4368563814</v>
      </c>
      <c r="AM8" s="866"/>
      <c r="AN8" s="866"/>
      <c r="AO8" s="866"/>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8396023520</v>
      </c>
      <c r="AJ9" s="866"/>
      <c r="AK9" s="866"/>
      <c r="AL9" s="866">
        <v>8396023520</v>
      </c>
      <c r="AM9" s="866"/>
      <c r="AN9" s="866"/>
      <c r="AO9" s="866"/>
      <c r="AP9" s="674">
        <f t="shared" si="0"/>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15814262768</v>
      </c>
      <c r="AJ10" s="866"/>
      <c r="AK10" s="866"/>
      <c r="AL10" s="866">
        <v>15814262768</v>
      </c>
      <c r="AM10" s="866"/>
      <c r="AN10" s="866"/>
      <c r="AO10" s="866"/>
      <c r="AP10" s="674">
        <f t="shared" si="0"/>
        <v>1</v>
      </c>
      <c r="AQ10" s="674"/>
      <c r="AR10" s="668"/>
    </row>
    <row r="11" spans="2:44" ht="38.25" customHeight="1">
      <c r="B11" s="640" t="s">
        <v>162</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7">
        <v>5416397772</v>
      </c>
      <c r="AJ11" s="868"/>
      <c r="AK11" s="869"/>
      <c r="AL11" s="867">
        <v>5416397772</v>
      </c>
      <c r="AM11" s="868"/>
      <c r="AN11" s="868"/>
      <c r="AO11" s="869"/>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7">
        <v>4636834844</v>
      </c>
      <c r="AJ12" s="868"/>
      <c r="AK12" s="869"/>
      <c r="AL12" s="867">
        <v>4636834844</v>
      </c>
      <c r="AM12" s="868"/>
      <c r="AN12" s="868"/>
      <c r="AO12" s="869"/>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7">
        <v>3858058377</v>
      </c>
      <c r="AJ13" s="868"/>
      <c r="AK13" s="869"/>
      <c r="AL13" s="867">
        <v>3858058377</v>
      </c>
      <c r="AM13" s="868"/>
      <c r="AN13" s="868"/>
      <c r="AO13" s="869"/>
      <c r="AP13" s="671">
        <f t="shared" si="1"/>
        <v>1</v>
      </c>
      <c r="AQ13" s="671"/>
      <c r="AR13" s="669"/>
    </row>
    <row r="14" spans="2:44" ht="48" customHeight="1">
      <c r="B14" s="632" t="s">
        <v>320</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7">
        <v>6160631716.0100002</v>
      </c>
      <c r="AJ14" s="868"/>
      <c r="AK14" s="869"/>
      <c r="AL14" s="867">
        <v>6160631716.0100002</v>
      </c>
      <c r="AM14" s="868"/>
      <c r="AN14" s="868"/>
      <c r="AO14" s="869"/>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5014793435.3500004</v>
      </c>
      <c r="AJ15" s="866"/>
      <c r="AK15" s="866"/>
      <c r="AL15" s="866">
        <v>5014793435.3500004</v>
      </c>
      <c r="AM15" s="866"/>
      <c r="AN15" s="866"/>
      <c r="AO15" s="866"/>
      <c r="AP15" s="674">
        <f t="shared" si="1"/>
        <v>1</v>
      </c>
      <c r="AQ15" s="674"/>
      <c r="AR15" s="668">
        <f t="shared" ref="AR15" si="2">SUM(AP15:AQ18)/4</f>
        <v>1.0000793643534227</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4371254611.6700001</v>
      </c>
      <c r="AJ16" s="866"/>
      <c r="AK16" s="866"/>
      <c r="AL16" s="866">
        <v>4371254612</v>
      </c>
      <c r="AM16" s="866"/>
      <c r="AN16" s="866"/>
      <c r="AO16" s="866"/>
      <c r="AP16" s="674">
        <f t="shared" si="1"/>
        <v>1.0000000000754932</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8228837975</v>
      </c>
      <c r="AJ17" s="866"/>
      <c r="AK17" s="866"/>
      <c r="AL17" s="866">
        <v>8231450280</v>
      </c>
      <c r="AM17" s="866"/>
      <c r="AN17" s="866"/>
      <c r="AO17" s="866"/>
      <c r="AP17" s="674">
        <f t="shared" si="1"/>
        <v>1.0003174573381972</v>
      </c>
      <c r="AQ17" s="674"/>
      <c r="AR17" s="668"/>
    </row>
    <row r="18" spans="2:44" ht="28.5" customHeight="1">
      <c r="B18" s="43" t="s">
        <v>195</v>
      </c>
      <c r="C18" s="607" t="s">
        <v>112</v>
      </c>
      <c r="D18" s="608"/>
      <c r="E18" s="644">
        <v>1</v>
      </c>
      <c r="F18" s="644"/>
      <c r="G18" s="632" t="s">
        <v>321</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14338331715.02</v>
      </c>
      <c r="AJ18" s="866"/>
      <c r="AK18" s="866"/>
      <c r="AL18" s="866">
        <v>14338331715.02</v>
      </c>
      <c r="AM18" s="866"/>
      <c r="AN18" s="866"/>
      <c r="AO18" s="866"/>
      <c r="AP18" s="674">
        <f t="shared" si="1"/>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5398747276.7200003</v>
      </c>
      <c r="AJ19" s="865"/>
      <c r="AK19" s="865"/>
      <c r="AL19" s="865">
        <v>5398747276.7200003</v>
      </c>
      <c r="AM19" s="865"/>
      <c r="AN19" s="865"/>
      <c r="AO19" s="865"/>
      <c r="AP19" s="671">
        <f t="shared" si="1"/>
        <v>1</v>
      </c>
      <c r="AQ19" s="671"/>
      <c r="AR19" s="669" t="e">
        <f t="shared" ref="AR19" si="3">SUM(AP19:AQ22)/4</f>
        <v>#DIV/0!</v>
      </c>
    </row>
    <row r="20" spans="2:44" ht="45.4" customHeight="1">
      <c r="B20" s="607" t="s">
        <v>322</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v>3685263922.21</v>
      </c>
      <c r="AJ20" s="865"/>
      <c r="AK20" s="865"/>
      <c r="AL20" s="865">
        <v>3685263922.21</v>
      </c>
      <c r="AM20" s="865"/>
      <c r="AN20" s="865"/>
      <c r="AO20" s="865"/>
      <c r="AP20" s="671">
        <f t="shared" si="1"/>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59">
        <f>AL15</f>
        <v>5014793435.3500004</v>
      </c>
      <c r="E23" s="860"/>
      <c r="F23" s="861"/>
      <c r="G23" s="862">
        <f>AL16</f>
        <v>4371254612</v>
      </c>
      <c r="H23" s="863"/>
      <c r="I23" s="863"/>
      <c r="J23" s="863"/>
      <c r="K23" s="863"/>
      <c r="L23" s="863"/>
      <c r="M23" s="864"/>
      <c r="N23" s="859">
        <f>AL17</f>
        <v>8231450280</v>
      </c>
      <c r="O23" s="860"/>
      <c r="P23" s="860"/>
      <c r="Q23" s="860"/>
      <c r="R23" s="860"/>
      <c r="S23" s="861"/>
      <c r="T23" s="862">
        <f>AL18</f>
        <v>14338331715.02</v>
      </c>
      <c r="U23" s="863"/>
      <c r="V23" s="863"/>
      <c r="W23" s="863"/>
      <c r="X23" s="864"/>
      <c r="Z23" s="52"/>
      <c r="AA23" s="52"/>
    </row>
    <row r="24" spans="2:44" ht="18.95" customHeight="1">
      <c r="B24" s="633" t="s">
        <v>26</v>
      </c>
      <c r="C24" s="633"/>
      <c r="D24" s="859">
        <f>AI15</f>
        <v>5014793435.3500004</v>
      </c>
      <c r="E24" s="860"/>
      <c r="F24" s="861"/>
      <c r="G24" s="862">
        <f>AI16</f>
        <v>4371254611.6700001</v>
      </c>
      <c r="H24" s="863"/>
      <c r="I24" s="863"/>
      <c r="J24" s="863"/>
      <c r="K24" s="863"/>
      <c r="L24" s="863"/>
      <c r="M24" s="864"/>
      <c r="N24" s="859">
        <f>AI17</f>
        <v>8228837975</v>
      </c>
      <c r="O24" s="860"/>
      <c r="P24" s="860"/>
      <c r="Q24" s="860"/>
      <c r="R24" s="860"/>
      <c r="S24" s="861"/>
      <c r="T24" s="862">
        <f>AI18</f>
        <v>14338331715.02</v>
      </c>
      <c r="U24" s="863"/>
      <c r="V24" s="863"/>
      <c r="W24" s="863"/>
      <c r="X24" s="864"/>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8" t="s">
        <v>27</v>
      </c>
      <c r="C26" s="88" t="s">
        <v>28</v>
      </c>
      <c r="D26" s="88"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89"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89"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89"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89" t="s">
        <v>34</v>
      </c>
      <c r="C30" s="686">
        <f>IF(ISERROR(G23/G24),0,G23/G24)</f>
        <v>1.0000000000754932</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89"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89"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89" t="s">
        <v>37</v>
      </c>
      <c r="C33" s="686">
        <f>IF(ISERROR(N23/N24),0,T23/T24)</f>
        <v>1</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89"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89"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89" t="s">
        <v>40</v>
      </c>
      <c r="C36" s="686">
        <f>IF(ISERROR(T23/T24),0,T23/T24)</f>
        <v>1</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89"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89"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tabColor theme="9" tint="0.79998168889431442"/>
    <pageSetUpPr fitToPage="1"/>
  </sheetPr>
  <dimension ref="B1:AW50"/>
  <sheetViews>
    <sheetView zoomScale="80" zoomScaleNormal="80" zoomScaleSheetLayoutView="100" workbookViewId="0">
      <selection activeCell="AG31" sqref="AG3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8" width="4.625" style="23"/>
    <col min="49" max="49" width="11.875" style="23" bestFit="1" customWidth="1"/>
    <col min="50" max="16384" width="4.625" style="23"/>
  </cols>
  <sheetData>
    <row r="1" spans="2:49"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9"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9"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9"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9"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9"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9" ht="14.25" customHeight="1">
      <c r="B7" s="645" t="s">
        <v>76</v>
      </c>
      <c r="C7" s="646"/>
      <c r="D7" s="646"/>
      <c r="E7" s="646"/>
      <c r="F7" s="647"/>
      <c r="G7" s="651" t="s">
        <v>84</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39703600</v>
      </c>
      <c r="AJ7" s="866"/>
      <c r="AK7" s="866"/>
      <c r="AL7" s="866">
        <v>6377699</v>
      </c>
      <c r="AM7" s="866"/>
      <c r="AN7" s="866"/>
      <c r="AO7" s="866"/>
      <c r="AP7" s="674">
        <f t="shared" ref="AP7:AP10" si="0">AL7/AI7</f>
        <v>0.16063276377960689</v>
      </c>
      <c r="AQ7" s="674"/>
      <c r="AR7" s="668">
        <f>SUM(AP7:AQ10)/4</f>
        <v>0.28000666396330143</v>
      </c>
    </row>
    <row r="8" spans="2:49"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59555400</v>
      </c>
      <c r="AJ8" s="866"/>
      <c r="AK8" s="866"/>
      <c r="AL8" s="866">
        <v>14355118</v>
      </c>
      <c r="AM8" s="866"/>
      <c r="AN8" s="866"/>
      <c r="AO8" s="866"/>
      <c r="AP8" s="674">
        <f t="shared" si="0"/>
        <v>0.24103805868149655</v>
      </c>
      <c r="AQ8" s="674"/>
      <c r="AR8" s="668"/>
    </row>
    <row r="9" spans="2:49"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59555400</v>
      </c>
      <c r="AJ9" s="866"/>
      <c r="AK9" s="866"/>
      <c r="AL9" s="866">
        <v>17078958</v>
      </c>
      <c r="AM9" s="866"/>
      <c r="AN9" s="866"/>
      <c r="AO9" s="866"/>
      <c r="AP9" s="674">
        <f t="shared" si="0"/>
        <v>0.28677429754480704</v>
      </c>
      <c r="AQ9" s="674"/>
      <c r="AR9" s="668"/>
    </row>
    <row r="10" spans="2:49"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59555400</v>
      </c>
      <c r="AJ10" s="866"/>
      <c r="AK10" s="866"/>
      <c r="AL10" s="866">
        <v>25703011</v>
      </c>
      <c r="AM10" s="866"/>
      <c r="AN10" s="866"/>
      <c r="AO10" s="866"/>
      <c r="AP10" s="674">
        <f t="shared" si="0"/>
        <v>0.43158153584729514</v>
      </c>
      <c r="AQ10" s="674"/>
      <c r="AR10" s="668"/>
    </row>
    <row r="11" spans="2:49" ht="38.25" customHeight="1">
      <c r="B11" s="640" t="s">
        <v>163</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37080000</v>
      </c>
      <c r="AJ11" s="865"/>
      <c r="AK11" s="865"/>
      <c r="AL11" s="865">
        <v>8429684</v>
      </c>
      <c r="AM11" s="865"/>
      <c r="AN11" s="865"/>
      <c r="AO11" s="865"/>
      <c r="AP11" s="671">
        <f>AL11/AI11</f>
        <v>0.22733775620280475</v>
      </c>
      <c r="AQ11" s="671"/>
      <c r="AR11" s="669">
        <f>SUM(AP11:AQ14)/4</f>
        <v>0.21609156362960938</v>
      </c>
    </row>
    <row r="12" spans="2:49"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55620000</v>
      </c>
      <c r="AJ12" s="865"/>
      <c r="AK12" s="865"/>
      <c r="AL12" s="865">
        <v>16269550</v>
      </c>
      <c r="AM12" s="865"/>
      <c r="AN12" s="865"/>
      <c r="AO12" s="865"/>
      <c r="AP12" s="671">
        <f t="shared" ref="AP12:AP22" si="1">AL12/AI12</f>
        <v>0.29251258540093489</v>
      </c>
      <c r="AQ12" s="671"/>
      <c r="AR12" s="669"/>
    </row>
    <row r="13" spans="2:49"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59555400</v>
      </c>
      <c r="AJ13" s="865"/>
      <c r="AK13" s="865"/>
      <c r="AL13" s="865">
        <v>8920710</v>
      </c>
      <c r="AM13" s="865"/>
      <c r="AN13" s="865"/>
      <c r="AO13" s="865"/>
      <c r="AP13" s="671">
        <f t="shared" si="1"/>
        <v>0.14978843228321864</v>
      </c>
      <c r="AQ13" s="671"/>
      <c r="AR13" s="669"/>
    </row>
    <row r="14" spans="2:49" ht="29.25" customHeight="1">
      <c r="B14" s="632"/>
      <c r="C14" s="632"/>
      <c r="D14" s="632"/>
      <c r="E14" s="632"/>
      <c r="F14" s="632"/>
      <c r="G14" s="644"/>
      <c r="H14" s="644"/>
      <c r="I14" s="644"/>
      <c r="J14" s="644"/>
      <c r="K14" s="644"/>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59555400</v>
      </c>
      <c r="AJ14" s="865"/>
      <c r="AK14" s="865"/>
      <c r="AL14" s="865">
        <v>11597073</v>
      </c>
      <c r="AM14" s="865"/>
      <c r="AN14" s="865"/>
      <c r="AO14" s="865"/>
      <c r="AP14" s="671">
        <f t="shared" si="1"/>
        <v>0.19472748063147927</v>
      </c>
      <c r="AQ14" s="671"/>
      <c r="AR14" s="669"/>
    </row>
    <row r="15" spans="2:49"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82400000</v>
      </c>
      <c r="AJ15" s="866"/>
      <c r="AK15" s="866"/>
      <c r="AL15" s="866">
        <v>9466456</v>
      </c>
      <c r="AM15" s="866"/>
      <c r="AN15" s="866"/>
      <c r="AO15" s="866"/>
      <c r="AP15" s="674">
        <f t="shared" si="1"/>
        <v>0.11488417475728155</v>
      </c>
      <c r="AQ15" s="674"/>
      <c r="AR15" s="668" t="e">
        <f t="shared" ref="AR15" si="2">SUM(AP15:AQ18)/4</f>
        <v>#DIV/0!</v>
      </c>
      <c r="AW15" s="288"/>
    </row>
    <row r="16" spans="2:49"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82400000</v>
      </c>
      <c r="AJ16" s="866"/>
      <c r="AK16" s="866"/>
      <c r="AL16" s="866">
        <v>4040974</v>
      </c>
      <c r="AM16" s="866"/>
      <c r="AN16" s="866"/>
      <c r="AO16" s="866"/>
      <c r="AP16" s="674">
        <f t="shared" si="1"/>
        <v>4.9040946601941748E-2</v>
      </c>
      <c r="AQ16" s="674"/>
      <c r="AR16" s="668"/>
      <c r="AW16" s="28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82400000</v>
      </c>
      <c r="AJ17" s="866"/>
      <c r="AK17" s="866"/>
      <c r="AL17" s="866">
        <v>6191732</v>
      </c>
      <c r="AM17" s="866"/>
      <c r="AN17" s="866"/>
      <c r="AO17" s="866"/>
      <c r="AP17" s="674">
        <f t="shared" si="1"/>
        <v>7.5142378640776705E-2</v>
      </c>
      <c r="AQ17" s="674"/>
      <c r="AR17" s="668"/>
    </row>
    <row r="18" spans="2:44" ht="28.5" customHeight="1">
      <c r="B18" s="43"/>
      <c r="C18" s="607"/>
      <c r="D18" s="608"/>
      <c r="E18" s="644"/>
      <c r="F18" s="644"/>
      <c r="G18" s="632"/>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c r="AJ18" s="866"/>
      <c r="AK18" s="866"/>
      <c r="AL18" s="866"/>
      <c r="AM18" s="866"/>
      <c r="AN18" s="866"/>
      <c r="AO18" s="866"/>
      <c r="AP18" s="674" t="e">
        <f t="shared" si="1"/>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c r="AJ19" s="865"/>
      <c r="AK19" s="865"/>
      <c r="AL19" s="865"/>
      <c r="AM19" s="865"/>
      <c r="AN19" s="865"/>
      <c r="AO19" s="865"/>
      <c r="AP19" s="671" t="e">
        <f t="shared" si="1"/>
        <v>#DIV/0!</v>
      </c>
      <c r="AQ19" s="671"/>
      <c r="AR19" s="669" t="e">
        <f t="shared" ref="AR19" si="3">SUM(AP19:AQ22)/4</f>
        <v>#DIV/0!</v>
      </c>
    </row>
    <row r="20" spans="2:44" ht="45.4" customHeight="1">
      <c r="B20" s="607"/>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c r="AJ20" s="865"/>
      <c r="AK20" s="865"/>
      <c r="AL20" s="865"/>
      <c r="AM20" s="865"/>
      <c r="AN20" s="865"/>
      <c r="AO20" s="865"/>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70">
        <f>AL15</f>
        <v>9466456</v>
      </c>
      <c r="E23" s="683"/>
      <c r="F23" s="684"/>
      <c r="G23" s="871">
        <f>AL16</f>
        <v>4040974</v>
      </c>
      <c r="H23" s="643"/>
      <c r="I23" s="643"/>
      <c r="J23" s="643"/>
      <c r="K23" s="643"/>
      <c r="L23" s="643"/>
      <c r="M23" s="608"/>
      <c r="N23" s="870">
        <f>AL17</f>
        <v>6191732</v>
      </c>
      <c r="O23" s="683"/>
      <c r="P23" s="683"/>
      <c r="Q23" s="683"/>
      <c r="R23" s="683"/>
      <c r="S23" s="684"/>
      <c r="T23" s="871">
        <f>AL18</f>
        <v>0</v>
      </c>
      <c r="U23" s="643"/>
      <c r="V23" s="643"/>
      <c r="W23" s="643"/>
      <c r="X23" s="608"/>
      <c r="Z23" s="52"/>
      <c r="AA23" s="52"/>
    </row>
    <row r="24" spans="2:44" ht="18.95" customHeight="1">
      <c r="B24" s="633" t="s">
        <v>26</v>
      </c>
      <c r="C24" s="633"/>
      <c r="D24" s="870">
        <f>AI15</f>
        <v>82400000</v>
      </c>
      <c r="E24" s="683"/>
      <c r="F24" s="684"/>
      <c r="G24" s="871">
        <f>AI16</f>
        <v>82400000</v>
      </c>
      <c r="H24" s="643"/>
      <c r="I24" s="643"/>
      <c r="J24" s="643"/>
      <c r="K24" s="643"/>
      <c r="L24" s="643"/>
      <c r="M24" s="608"/>
      <c r="N24" s="870">
        <f>AI17</f>
        <v>82400000</v>
      </c>
      <c r="O24" s="683"/>
      <c r="P24" s="683"/>
      <c r="Q24" s="683"/>
      <c r="R24" s="683"/>
      <c r="S24" s="684"/>
      <c r="T24" s="871">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88" t="s">
        <v>27</v>
      </c>
      <c r="C26" s="88" t="s">
        <v>28</v>
      </c>
      <c r="D26" s="88"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89" t="s">
        <v>31</v>
      </c>
      <c r="C27" s="686">
        <f>IF(ISERROR($D$23/$D$24),0,$D$23/$D$24)</f>
        <v>0.11488417475728155</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89"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89"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89" t="s">
        <v>34</v>
      </c>
      <c r="C30" s="686">
        <f>IF(ISERROR($G$23/$G$24),0,$G$23/$G$24)</f>
        <v>4.9040946601941748E-2</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89"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89"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89" t="s">
        <v>37</v>
      </c>
      <c r="C33" s="686">
        <f>IF(ISERROR($N$23/$N$24),0,$N$23/$N$24)</f>
        <v>7.5142378640776705E-2</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89"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89"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89" t="s">
        <v>40</v>
      </c>
      <c r="C36" s="686">
        <f>IF(ISERROR($T$23/$T$24),0,$T$23/$T$24)</f>
        <v>0</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89"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89"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tabColor rgb="FFFFFF00"/>
    <pageSetUpPr fitToPage="1"/>
  </sheetPr>
  <dimension ref="B1:AR50"/>
  <sheetViews>
    <sheetView zoomScale="80" zoomScaleNormal="80" zoomScaleSheetLayoutView="100" workbookViewId="0">
      <selection activeCell="AI15" sqref="AI15:AO1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326</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83</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7</v>
      </c>
      <c r="AJ7" s="673"/>
      <c r="AK7" s="673"/>
      <c r="AL7" s="673">
        <v>7</v>
      </c>
      <c r="AM7" s="673"/>
      <c r="AN7" s="673"/>
      <c r="AO7" s="673"/>
      <c r="AP7" s="674">
        <f t="shared" ref="AP7:AP10" si="0">AL7/AI7</f>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6</v>
      </c>
      <c r="AJ8" s="673"/>
      <c r="AK8" s="673"/>
      <c r="AL8" s="673">
        <v>6</v>
      </c>
      <c r="AM8" s="673"/>
      <c r="AN8" s="673"/>
      <c r="AO8" s="673"/>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7</v>
      </c>
      <c r="AJ9" s="673"/>
      <c r="AK9" s="673"/>
      <c r="AL9" s="673">
        <v>7</v>
      </c>
      <c r="AM9" s="673"/>
      <c r="AN9" s="673"/>
      <c r="AO9" s="673"/>
      <c r="AP9" s="674">
        <f t="shared" si="0"/>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5</v>
      </c>
      <c r="AJ10" s="673"/>
      <c r="AK10" s="673"/>
      <c r="AL10" s="673">
        <v>5</v>
      </c>
      <c r="AM10" s="673"/>
      <c r="AN10" s="673"/>
      <c r="AO10" s="673"/>
      <c r="AP10" s="674">
        <f t="shared" si="0"/>
        <v>1</v>
      </c>
      <c r="AQ10" s="674"/>
      <c r="AR10" s="668"/>
    </row>
    <row r="11" spans="2:44" ht="38.25" customHeight="1">
      <c r="B11" s="640" t="s">
        <v>164</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7</v>
      </c>
      <c r="AJ11" s="672"/>
      <c r="AK11" s="672"/>
      <c r="AL11" s="672">
        <v>7</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6</v>
      </c>
      <c r="AJ12" s="672"/>
      <c r="AK12" s="672"/>
      <c r="AL12" s="672">
        <v>6</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7</v>
      </c>
      <c r="AJ13" s="672"/>
      <c r="AK13" s="672"/>
      <c r="AL13" s="672">
        <v>7</v>
      </c>
      <c r="AM13" s="672"/>
      <c r="AN13" s="672"/>
      <c r="AO13" s="672"/>
      <c r="AP13" s="671">
        <f t="shared" si="1"/>
        <v>1</v>
      </c>
      <c r="AQ13" s="671"/>
      <c r="AR13" s="669"/>
    </row>
    <row r="14" spans="2:44" ht="29.25" customHeight="1">
      <c r="B14" s="632" t="s">
        <v>389</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5</v>
      </c>
      <c r="AJ14" s="672"/>
      <c r="AK14" s="672"/>
      <c r="AL14" s="672">
        <v>5</v>
      </c>
      <c r="AM14" s="672"/>
      <c r="AN14" s="672"/>
      <c r="AO14" s="672"/>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730">
        <v>7</v>
      </c>
      <c r="AJ15" s="731"/>
      <c r="AK15" s="732"/>
      <c r="AL15" s="673">
        <v>7</v>
      </c>
      <c r="AM15" s="673"/>
      <c r="AN15" s="673"/>
      <c r="AO15" s="673"/>
      <c r="AP15" s="674">
        <f t="shared" si="1"/>
        <v>1</v>
      </c>
      <c r="AQ15" s="674"/>
      <c r="AR15" s="668" t="e">
        <f t="shared" ref="AR15" si="2">SUM(AP15:AQ18)/4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730">
        <v>6</v>
      </c>
      <c r="AJ16" s="731"/>
      <c r="AK16" s="732"/>
      <c r="AL16" s="673">
        <v>6</v>
      </c>
      <c r="AM16" s="673"/>
      <c r="AN16" s="673"/>
      <c r="AO16" s="673"/>
      <c r="AP16" s="674">
        <f t="shared" si="1"/>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730">
        <v>7</v>
      </c>
      <c r="AJ17" s="731"/>
      <c r="AK17" s="732"/>
      <c r="AL17" s="673">
        <v>7</v>
      </c>
      <c r="AM17" s="673"/>
      <c r="AN17" s="673"/>
      <c r="AO17" s="673"/>
      <c r="AP17" s="674">
        <f t="shared" si="1"/>
        <v>1</v>
      </c>
      <c r="AQ17" s="674"/>
      <c r="AR17" s="668"/>
    </row>
    <row r="18" spans="2:44" ht="28.5" customHeight="1">
      <c r="B18" s="43" t="s">
        <v>195</v>
      </c>
      <c r="C18" s="607" t="s">
        <v>112</v>
      </c>
      <c r="D18" s="608"/>
      <c r="E18" s="644">
        <v>1</v>
      </c>
      <c r="F18" s="644"/>
      <c r="G18" s="632" t="s">
        <v>390</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730"/>
      <c r="AJ18" s="731"/>
      <c r="AK18" s="732"/>
      <c r="AL18" s="673"/>
      <c r="AM18" s="673"/>
      <c r="AN18" s="673"/>
      <c r="AO18" s="673"/>
      <c r="AP18" s="674" t="e">
        <f t="shared" si="1"/>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721"/>
      <c r="AJ19" s="722"/>
      <c r="AK19" s="723"/>
      <c r="AL19" s="672"/>
      <c r="AM19" s="672"/>
      <c r="AN19" s="672"/>
      <c r="AO19" s="672"/>
      <c r="AP19" s="671" t="e">
        <f t="shared" si="1"/>
        <v>#DIV/0!</v>
      </c>
      <c r="AQ19" s="671"/>
      <c r="AR19" s="669" t="e">
        <f t="shared" ref="AR19" si="3">SUM(AP19:AQ22)/4</f>
        <v>#DIV/0!</v>
      </c>
    </row>
    <row r="20" spans="2:44" ht="45.4" customHeight="1">
      <c r="B20" s="607" t="s">
        <v>391</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721"/>
      <c r="AJ20" s="722"/>
      <c r="AK20" s="723"/>
      <c r="AL20" s="672"/>
      <c r="AM20" s="672"/>
      <c r="AN20" s="672"/>
      <c r="AO20" s="672"/>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721"/>
      <c r="AJ21" s="722"/>
      <c r="AK21" s="723"/>
      <c r="AL21" s="672"/>
      <c r="AM21" s="672"/>
      <c r="AN21" s="672"/>
      <c r="AO21" s="672"/>
      <c r="AP21" s="671" t="e">
        <f t="shared" si="1"/>
        <v>#DIV/0!</v>
      </c>
      <c r="AQ21" s="671"/>
      <c r="AR21" s="669"/>
    </row>
    <row r="22" spans="2:44" ht="18.9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7</v>
      </c>
      <c r="E23" s="683"/>
      <c r="F23" s="684"/>
      <c r="G23" s="685">
        <f>AL16</f>
        <v>6</v>
      </c>
      <c r="H23" s="872"/>
      <c r="I23" s="872"/>
      <c r="J23" s="872"/>
      <c r="K23" s="872"/>
      <c r="L23" s="872"/>
      <c r="M23" s="873"/>
      <c r="N23" s="682">
        <f>AL17</f>
        <v>7</v>
      </c>
      <c r="O23" s="683"/>
      <c r="P23" s="683"/>
      <c r="Q23" s="683"/>
      <c r="R23" s="683"/>
      <c r="S23" s="684"/>
      <c r="T23" s="685">
        <f>AL18</f>
        <v>0</v>
      </c>
      <c r="U23" s="643"/>
      <c r="V23" s="643"/>
      <c r="W23" s="643"/>
      <c r="X23" s="608"/>
      <c r="Z23" s="52"/>
      <c r="AA23" s="52"/>
    </row>
    <row r="24" spans="2:44" ht="18.95" customHeight="1">
      <c r="B24" s="633" t="s">
        <v>26</v>
      </c>
      <c r="C24" s="633"/>
      <c r="D24" s="682">
        <f>AI15</f>
        <v>7</v>
      </c>
      <c r="E24" s="683"/>
      <c r="F24" s="684"/>
      <c r="G24" s="685">
        <f>AI16</f>
        <v>6</v>
      </c>
      <c r="H24" s="643"/>
      <c r="I24" s="643"/>
      <c r="J24" s="643"/>
      <c r="K24" s="643"/>
      <c r="L24" s="643"/>
      <c r="M24" s="608"/>
      <c r="N24" s="682">
        <f>AI17</f>
        <v>7</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t="s">
        <v>392</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
    <tabColor rgb="FFFFFF00"/>
    <pageSetUpPr fitToPage="1"/>
  </sheetPr>
  <dimension ref="B1:AR50"/>
  <sheetViews>
    <sheetView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326</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83</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7</v>
      </c>
      <c r="AJ7" s="673"/>
      <c r="AK7" s="673"/>
      <c r="AL7" s="673">
        <v>7</v>
      </c>
      <c r="AM7" s="673"/>
      <c r="AN7" s="673"/>
      <c r="AO7" s="673"/>
      <c r="AP7" s="674">
        <f t="shared" ref="AP7:AP10" si="0">AL7/AI7</f>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9</v>
      </c>
      <c r="AJ8" s="673"/>
      <c r="AK8" s="673"/>
      <c r="AL8" s="673">
        <v>9</v>
      </c>
      <c r="AM8" s="673"/>
      <c r="AN8" s="673"/>
      <c r="AO8" s="673"/>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7</v>
      </c>
      <c r="AJ9" s="673"/>
      <c r="AK9" s="673"/>
      <c r="AL9" s="673">
        <v>7</v>
      </c>
      <c r="AM9" s="673"/>
      <c r="AN9" s="673"/>
      <c r="AO9" s="673"/>
      <c r="AP9" s="674">
        <f t="shared" si="0"/>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14</v>
      </c>
      <c r="AJ10" s="673"/>
      <c r="AK10" s="673"/>
      <c r="AL10" s="673">
        <v>14</v>
      </c>
      <c r="AM10" s="673"/>
      <c r="AN10" s="673"/>
      <c r="AO10" s="673"/>
      <c r="AP10" s="674">
        <f t="shared" si="0"/>
        <v>1</v>
      </c>
      <c r="AQ10" s="674"/>
      <c r="AR10" s="668"/>
    </row>
    <row r="11" spans="2:44" ht="38.25" customHeight="1">
      <c r="B11" s="640" t="s">
        <v>165</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10</v>
      </c>
      <c r="AJ11" s="672"/>
      <c r="AK11" s="672"/>
      <c r="AL11" s="672">
        <v>10</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12</v>
      </c>
      <c r="AJ12" s="672"/>
      <c r="AK12" s="672"/>
      <c r="AL12" s="672">
        <v>12</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10</v>
      </c>
      <c r="AJ13" s="672"/>
      <c r="AK13" s="672"/>
      <c r="AL13" s="672">
        <v>10</v>
      </c>
      <c r="AM13" s="672"/>
      <c r="AN13" s="672"/>
      <c r="AO13" s="672"/>
      <c r="AP13" s="671">
        <f t="shared" si="1"/>
        <v>1</v>
      </c>
      <c r="AQ13" s="671"/>
      <c r="AR13" s="669"/>
    </row>
    <row r="14" spans="2:44" ht="29.25" customHeight="1">
      <c r="B14" s="632" t="s">
        <v>393</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17</v>
      </c>
      <c r="AJ14" s="672"/>
      <c r="AK14" s="672"/>
      <c r="AL14" s="672">
        <v>17</v>
      </c>
      <c r="AM14" s="672"/>
      <c r="AN14" s="672"/>
      <c r="AO14" s="672"/>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3</v>
      </c>
      <c r="AJ15" s="673"/>
      <c r="AK15" s="673"/>
      <c r="AL15" s="673">
        <v>3</v>
      </c>
      <c r="AM15" s="673"/>
      <c r="AN15" s="673"/>
      <c r="AO15" s="673"/>
      <c r="AP15" s="674">
        <f t="shared" si="1"/>
        <v>1</v>
      </c>
      <c r="AQ15" s="674"/>
      <c r="AR15" s="668" t="e">
        <f t="shared" ref="AR15" si="2">SUM(AP15:AQ18)/4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9</v>
      </c>
      <c r="AJ16" s="673"/>
      <c r="AK16" s="673"/>
      <c r="AL16" s="673">
        <v>9</v>
      </c>
      <c r="AM16" s="673"/>
      <c r="AN16" s="673"/>
      <c r="AO16" s="673"/>
      <c r="AP16" s="674">
        <f t="shared" si="1"/>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16</v>
      </c>
      <c r="AJ17" s="673"/>
      <c r="AK17" s="673"/>
      <c r="AL17" s="673">
        <v>16</v>
      </c>
      <c r="AM17" s="673"/>
      <c r="AN17" s="673"/>
      <c r="AO17" s="673"/>
      <c r="AP17" s="674">
        <f t="shared" si="1"/>
        <v>1</v>
      </c>
      <c r="AQ17" s="674"/>
      <c r="AR17" s="668"/>
    </row>
    <row r="18" spans="2:44" ht="28.5" customHeight="1">
      <c r="B18" s="43" t="s">
        <v>394</v>
      </c>
      <c r="C18" s="607" t="s">
        <v>112</v>
      </c>
      <c r="D18" s="608"/>
      <c r="E18" s="644">
        <v>1</v>
      </c>
      <c r="F18" s="644"/>
      <c r="G18" s="632" t="s">
        <v>390</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c r="AJ18" s="673"/>
      <c r="AK18" s="673"/>
      <c r="AL18" s="673"/>
      <c r="AM18" s="673"/>
      <c r="AN18" s="673"/>
      <c r="AO18" s="673"/>
      <c r="AP18" s="674" t="e">
        <f t="shared" si="1"/>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c r="AJ19" s="672"/>
      <c r="AK19" s="672"/>
      <c r="AL19" s="672"/>
      <c r="AM19" s="672"/>
      <c r="AN19" s="672"/>
      <c r="AO19" s="672"/>
      <c r="AP19" s="671" t="e">
        <f t="shared" si="1"/>
        <v>#DIV/0!</v>
      </c>
      <c r="AQ19" s="671"/>
      <c r="AR19" s="669" t="e">
        <f t="shared" ref="AR19" si="3">SUM(AP19:AQ22)/4</f>
        <v>#DIV/0!</v>
      </c>
    </row>
    <row r="20" spans="2:44" ht="45.4" customHeight="1">
      <c r="B20" s="607" t="s">
        <v>395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c r="AJ20" s="672"/>
      <c r="AK20" s="672"/>
      <c r="AL20" s="672"/>
      <c r="AM20" s="672"/>
      <c r="AN20" s="672"/>
      <c r="AO20" s="672"/>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3</v>
      </c>
      <c r="E23" s="683"/>
      <c r="F23" s="684"/>
      <c r="G23" s="685">
        <f>AL16</f>
        <v>9</v>
      </c>
      <c r="H23" s="872"/>
      <c r="I23" s="872"/>
      <c r="J23" s="872"/>
      <c r="K23" s="872"/>
      <c r="L23" s="872"/>
      <c r="M23" s="873"/>
      <c r="N23" s="682">
        <f>AL17</f>
        <v>16</v>
      </c>
      <c r="O23" s="683"/>
      <c r="P23" s="683"/>
      <c r="Q23" s="683"/>
      <c r="R23" s="683"/>
      <c r="S23" s="684"/>
      <c r="T23" s="685">
        <f>AL18</f>
        <v>0</v>
      </c>
      <c r="U23" s="643"/>
      <c r="V23" s="643"/>
      <c r="W23" s="643"/>
      <c r="X23" s="608"/>
      <c r="Z23" s="52"/>
      <c r="AA23" s="52"/>
    </row>
    <row r="24" spans="2:44" ht="18.95" customHeight="1">
      <c r="B24" s="633" t="s">
        <v>26</v>
      </c>
      <c r="C24" s="633"/>
      <c r="D24" s="682">
        <f>AI15</f>
        <v>3</v>
      </c>
      <c r="E24" s="683"/>
      <c r="F24" s="684"/>
      <c r="G24" s="685">
        <f>AI16</f>
        <v>9</v>
      </c>
      <c r="H24" s="643"/>
      <c r="I24" s="643"/>
      <c r="J24" s="643"/>
      <c r="K24" s="643"/>
      <c r="L24" s="643"/>
      <c r="M24" s="608"/>
      <c r="N24" s="682">
        <f>AI17</f>
        <v>16</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t="s">
        <v>396</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tabColor theme="2" tint="-0.749992370372631"/>
    <pageSetUpPr fitToPage="1"/>
  </sheetPr>
  <dimension ref="B1:AV50"/>
  <sheetViews>
    <sheetView zoomScale="80" zoomScaleNormal="80" zoomScaleSheetLayoutView="100" workbookViewId="0">
      <selection activeCell="AK26" sqref="AK2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7" width="4.625" style="23"/>
    <col min="48" max="48" width="12.25" style="23" customWidth="1"/>
    <col min="49" max="49" width="4.625" style="23" customWidth="1"/>
    <col min="50" max="16384" width="4.625" style="23"/>
  </cols>
  <sheetData>
    <row r="1" spans="2:48"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8"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8"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8"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8"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8"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8" ht="14.25" customHeight="1">
      <c r="B7" s="645" t="s">
        <v>76</v>
      </c>
      <c r="C7" s="646"/>
      <c r="D7" s="646"/>
      <c r="E7" s="646"/>
      <c r="F7" s="647"/>
      <c r="G7" s="651" t="s">
        <v>81</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34724</v>
      </c>
      <c r="AJ7" s="866"/>
      <c r="AK7" s="866"/>
      <c r="AL7" s="866">
        <v>4408</v>
      </c>
      <c r="AM7" s="866"/>
      <c r="AN7" s="866"/>
      <c r="AO7" s="866"/>
      <c r="AP7" s="674">
        <f>+AL7/AI7</f>
        <v>0.12694390047229581</v>
      </c>
      <c r="AQ7" s="674"/>
      <c r="AR7" s="668"/>
    </row>
    <row r="8" spans="2:48"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34724</v>
      </c>
      <c r="AJ8" s="866"/>
      <c r="AK8" s="866"/>
      <c r="AL8" s="866">
        <v>8788</v>
      </c>
      <c r="AM8" s="866"/>
      <c r="AN8" s="866"/>
      <c r="AO8" s="866"/>
      <c r="AP8" s="674">
        <f t="shared" ref="AP8:AP10" si="0">+AL8/AI8</f>
        <v>0.25308144223015783</v>
      </c>
      <c r="AQ8" s="674"/>
      <c r="AR8" s="668"/>
    </row>
    <row r="9" spans="2:48"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34724</v>
      </c>
      <c r="AJ9" s="866"/>
      <c r="AK9" s="866"/>
      <c r="AL9" s="866">
        <v>17168</v>
      </c>
      <c r="AM9" s="866"/>
      <c r="AN9" s="866"/>
      <c r="AO9" s="866"/>
      <c r="AP9" s="674">
        <f t="shared" si="0"/>
        <v>0.49441308604999423</v>
      </c>
      <c r="AQ9" s="674"/>
      <c r="AR9" s="668"/>
    </row>
    <row r="10" spans="2:48"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34100</v>
      </c>
      <c r="AJ10" s="866"/>
      <c r="AK10" s="866"/>
      <c r="AL10" s="866">
        <v>33455</v>
      </c>
      <c r="AM10" s="866"/>
      <c r="AN10" s="866"/>
      <c r="AO10" s="866"/>
      <c r="AP10" s="674">
        <f t="shared" si="0"/>
        <v>0.98108504398826979</v>
      </c>
      <c r="AQ10" s="674"/>
      <c r="AR10" s="668"/>
    </row>
    <row r="11" spans="2:48" ht="38.25" customHeight="1">
      <c r="B11" s="640" t="s">
        <v>166</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37311</v>
      </c>
      <c r="AJ11" s="865"/>
      <c r="AK11" s="865"/>
      <c r="AL11" s="865">
        <v>4948</v>
      </c>
      <c r="AM11" s="865"/>
      <c r="AN11" s="865"/>
      <c r="AO11" s="865"/>
      <c r="AP11" s="671">
        <f>AL11/AI11</f>
        <v>0.13261504650103187</v>
      </c>
      <c r="AQ11" s="671"/>
      <c r="AR11" s="669"/>
      <c r="AV11" s="120"/>
    </row>
    <row r="12" spans="2:48"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37311</v>
      </c>
      <c r="AJ12" s="865"/>
      <c r="AK12" s="865"/>
      <c r="AL12" s="865">
        <v>9281</v>
      </c>
      <c r="AM12" s="865"/>
      <c r="AN12" s="865"/>
      <c r="AO12" s="865"/>
      <c r="AP12" s="671">
        <f t="shared" ref="AP12:AP22" si="1">AL12/AI12</f>
        <v>0.24874701830559354</v>
      </c>
      <c r="AQ12" s="671"/>
      <c r="AR12" s="669"/>
    </row>
    <row r="13" spans="2:48"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37311</v>
      </c>
      <c r="AJ13" s="865"/>
      <c r="AK13" s="865"/>
      <c r="AL13" s="865">
        <v>12817</v>
      </c>
      <c r="AM13" s="865"/>
      <c r="AN13" s="865"/>
      <c r="AO13" s="865"/>
      <c r="AP13" s="671">
        <f t="shared" si="1"/>
        <v>0.34351799737342875</v>
      </c>
      <c r="AQ13" s="671"/>
      <c r="AR13" s="669"/>
    </row>
    <row r="14" spans="2:48" ht="29.25" customHeight="1">
      <c r="B14" s="632" t="s">
        <v>353</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31780</v>
      </c>
      <c r="AJ14" s="865"/>
      <c r="AK14" s="865"/>
      <c r="AL14" s="865">
        <v>29466</v>
      </c>
      <c r="AM14" s="865"/>
      <c r="AN14" s="865"/>
      <c r="AO14" s="865"/>
      <c r="AP14" s="671">
        <f t="shared" si="1"/>
        <v>0.92718691000629327</v>
      </c>
      <c r="AQ14" s="671"/>
      <c r="AR14" s="669"/>
    </row>
    <row r="15" spans="2:48"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45470</v>
      </c>
      <c r="AJ15" s="866"/>
      <c r="AK15" s="866"/>
      <c r="AL15" s="866">
        <v>4893</v>
      </c>
      <c r="AM15" s="866"/>
      <c r="AN15" s="866"/>
      <c r="AO15" s="866"/>
      <c r="AP15" s="674">
        <f>AL15/AI15</f>
        <v>0.10760941279964811</v>
      </c>
      <c r="AQ15" s="674"/>
      <c r="AR15" s="668"/>
    </row>
    <row r="16" spans="2:48"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45470</v>
      </c>
      <c r="AJ16" s="866"/>
      <c r="AK16" s="866"/>
      <c r="AL16" s="866">
        <v>7945.7</v>
      </c>
      <c r="AM16" s="866"/>
      <c r="AN16" s="866"/>
      <c r="AO16" s="866"/>
      <c r="AP16" s="674">
        <f t="shared" si="1"/>
        <v>0.17474598636463601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45470</v>
      </c>
      <c r="AJ17" s="866"/>
      <c r="AK17" s="866"/>
      <c r="AL17" s="866">
        <v>17610</v>
      </c>
      <c r="AM17" s="866"/>
      <c r="AN17" s="866"/>
      <c r="AO17" s="866"/>
      <c r="AP17" s="674">
        <f t="shared" si="1"/>
        <v>0.38728832197053004</v>
      </c>
      <c r="AQ17" s="674"/>
      <c r="AR17" s="668"/>
    </row>
    <row r="18" spans="2:44" ht="28.5" customHeight="1">
      <c r="B18" s="43" t="s">
        <v>354</v>
      </c>
      <c r="C18" s="607" t="s">
        <v>112</v>
      </c>
      <c r="D18" s="608"/>
      <c r="E18" s="644"/>
      <c r="F18" s="644"/>
      <c r="G18" s="632" t="s">
        <v>356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45470</v>
      </c>
      <c r="AJ18" s="866"/>
      <c r="AK18" s="866"/>
      <c r="AL18" s="866">
        <v>34247</v>
      </c>
      <c r="AM18" s="866"/>
      <c r="AN18" s="866"/>
      <c r="AO18" s="866"/>
      <c r="AP18" s="674">
        <f t="shared" si="1"/>
        <v>0.75317791950736745</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45387</v>
      </c>
      <c r="AJ19" s="865"/>
      <c r="AK19" s="865"/>
      <c r="AL19" s="865">
        <v>5411</v>
      </c>
      <c r="AM19" s="865"/>
      <c r="AN19" s="865"/>
      <c r="AO19" s="865"/>
      <c r="AP19" s="671">
        <f t="shared" si="1"/>
        <v>0.11921915967127152</v>
      </c>
      <c r="AQ19" s="671"/>
      <c r="AR19" s="669"/>
    </row>
    <row r="20" spans="2:44" ht="45.4" customHeight="1">
      <c r="B20" s="607"/>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v>45387</v>
      </c>
      <c r="AJ20" s="865"/>
      <c r="AK20" s="865"/>
      <c r="AL20" s="865">
        <v>9095</v>
      </c>
      <c r="AM20" s="865"/>
      <c r="AN20" s="865"/>
      <c r="AO20" s="865"/>
      <c r="AP20" s="671">
        <f t="shared" si="1"/>
        <v>0.20038777623548593</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59">
        <f>AL15</f>
        <v>4893</v>
      </c>
      <c r="E23" s="860"/>
      <c r="F23" s="861"/>
      <c r="G23" s="862">
        <f>AL16</f>
        <v>7945.7</v>
      </c>
      <c r="H23" s="863"/>
      <c r="I23" s="863"/>
      <c r="J23" s="863"/>
      <c r="K23" s="863"/>
      <c r="L23" s="863"/>
      <c r="M23" s="864"/>
      <c r="N23" s="859">
        <f>AL17</f>
        <v>17610</v>
      </c>
      <c r="O23" s="860"/>
      <c r="P23" s="860"/>
      <c r="Q23" s="860"/>
      <c r="R23" s="860"/>
      <c r="S23" s="861"/>
      <c r="T23" s="862">
        <f>AL18</f>
        <v>34247</v>
      </c>
      <c r="U23" s="863"/>
      <c r="V23" s="863"/>
      <c r="W23" s="863"/>
      <c r="X23" s="864"/>
      <c r="Z23" s="52"/>
      <c r="AA23" s="52"/>
    </row>
    <row r="24" spans="2:44" ht="18.95" customHeight="1">
      <c r="B24" s="633" t="s">
        <v>26</v>
      </c>
      <c r="C24" s="633"/>
      <c r="D24" s="859">
        <f>AI15</f>
        <v>45470</v>
      </c>
      <c r="E24" s="860"/>
      <c r="F24" s="861"/>
      <c r="G24" s="862">
        <f>AI16</f>
        <v>45470</v>
      </c>
      <c r="H24" s="863"/>
      <c r="I24" s="863"/>
      <c r="J24" s="863"/>
      <c r="K24" s="863"/>
      <c r="L24" s="863"/>
      <c r="M24" s="864"/>
      <c r="N24" s="859">
        <f>AI17</f>
        <v>45470</v>
      </c>
      <c r="O24" s="860"/>
      <c r="P24" s="860"/>
      <c r="Q24" s="860"/>
      <c r="R24" s="860"/>
      <c r="S24" s="861"/>
      <c r="T24" s="862">
        <f>AI18</f>
        <v>45470</v>
      </c>
      <c r="U24" s="863"/>
      <c r="V24" s="863"/>
      <c r="W24" s="863"/>
      <c r="X24" s="864"/>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0.10760941279964811</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2">$O$14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2"/>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0.17474598636463601</v>
      </c>
      <c r="D30" s="686">
        <f t="shared" ref="D30:D36" si="3">$E$18</f>
        <v>0</v>
      </c>
      <c r="E30" s="92">
        <f t="shared" si="2"/>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2"/>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2"/>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0.38728832197053004</v>
      </c>
      <c r="D33" s="686">
        <f t="shared" si="3"/>
        <v>0</v>
      </c>
      <c r="E33" s="92">
        <f t="shared" si="2"/>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2"/>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2"/>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0.75317791950736745</v>
      </c>
      <c r="D36" s="686">
        <f t="shared" si="3"/>
        <v>0</v>
      </c>
      <c r="E36" s="92">
        <f t="shared" si="2"/>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2"/>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tabColor theme="2" tint="-0.749992370372631"/>
    <pageSetUpPr fitToPage="1"/>
  </sheetPr>
  <dimension ref="B1:AR50"/>
  <sheetViews>
    <sheetView zoomScale="80" zoomScaleNormal="80" zoomScaleSheetLayoutView="100" workbookViewId="0">
      <selection activeCell="AE31" sqref="AE3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81</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34724</v>
      </c>
      <c r="AJ7" s="866"/>
      <c r="AK7" s="866"/>
      <c r="AL7" s="866">
        <v>8214</v>
      </c>
      <c r="AM7" s="866"/>
      <c r="AN7" s="866"/>
      <c r="AO7" s="866"/>
      <c r="AP7" s="674">
        <f t="shared" ref="AP7:AP10" si="0">AL7/AI7</f>
        <v>0.23655108858426449</v>
      </c>
      <c r="AQ7" s="674"/>
      <c r="AR7" s="668"/>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34724</v>
      </c>
      <c r="AJ8" s="866"/>
      <c r="AK8" s="866"/>
      <c r="AL8" s="866">
        <v>17655</v>
      </c>
      <c r="AM8" s="866"/>
      <c r="AN8" s="866"/>
      <c r="AO8" s="866"/>
      <c r="AP8" s="674">
        <f t="shared" si="0"/>
        <v>0.50843796797603957</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34724</v>
      </c>
      <c r="AJ9" s="866"/>
      <c r="AK9" s="866"/>
      <c r="AL9" s="866">
        <v>33518</v>
      </c>
      <c r="AM9" s="866"/>
      <c r="AN9" s="866"/>
      <c r="AO9" s="866"/>
      <c r="AP9" s="674">
        <f t="shared" si="0"/>
        <v>0.9652689782283147</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34100</v>
      </c>
      <c r="AJ10" s="866"/>
      <c r="AK10" s="866"/>
      <c r="AL10" s="866">
        <v>43473</v>
      </c>
      <c r="AM10" s="866"/>
      <c r="AN10" s="866"/>
      <c r="AO10" s="866"/>
      <c r="AP10" s="674">
        <f t="shared" si="0"/>
        <v>1.2748680351906159</v>
      </c>
      <c r="AQ10" s="674"/>
      <c r="AR10" s="668"/>
    </row>
    <row r="11" spans="2:44" ht="38.25" customHeight="1">
      <c r="B11" s="640" t="s">
        <v>167</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37311</v>
      </c>
      <c r="AJ11" s="865"/>
      <c r="AK11" s="865"/>
      <c r="AL11" s="865">
        <v>6062</v>
      </c>
      <c r="AM11" s="865"/>
      <c r="AN11" s="865"/>
      <c r="AO11" s="865"/>
      <c r="AP11" s="671">
        <f>AL11/AI11</f>
        <v>0.16247219318699579</v>
      </c>
      <c r="AQ11" s="671"/>
      <c r="AR11" s="669"/>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37311</v>
      </c>
      <c r="AJ12" s="865"/>
      <c r="AK12" s="865"/>
      <c r="AL12" s="865">
        <v>19652</v>
      </c>
      <c r="AM12" s="865"/>
      <c r="AN12" s="865"/>
      <c r="AO12" s="865"/>
      <c r="AP12" s="671">
        <f t="shared" ref="AP12:AP22" si="1">AL12/AI12</f>
        <v>0.52670794135777654</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37311</v>
      </c>
      <c r="AJ13" s="865"/>
      <c r="AK13" s="865"/>
      <c r="AL13" s="865">
        <v>37034</v>
      </c>
      <c r="AM13" s="865"/>
      <c r="AN13" s="865"/>
      <c r="AO13" s="865"/>
      <c r="AP13" s="671">
        <f t="shared" si="1"/>
        <v>0.99257591594971994</v>
      </c>
      <c r="AQ13" s="671"/>
      <c r="AR13" s="669"/>
    </row>
    <row r="14" spans="2:44" ht="29.25" customHeight="1">
      <c r="B14" s="632"/>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31780</v>
      </c>
      <c r="AJ14" s="865"/>
      <c r="AK14" s="865"/>
      <c r="AL14" s="865">
        <v>44615</v>
      </c>
      <c r="AM14" s="865"/>
      <c r="AN14" s="865"/>
      <c r="AO14" s="865"/>
      <c r="AP14" s="671">
        <f t="shared" si="1"/>
        <v>1.4038703587161736</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45470</v>
      </c>
      <c r="AJ15" s="866"/>
      <c r="AK15" s="866"/>
      <c r="AL15" s="866">
        <v>6464</v>
      </c>
      <c r="AM15" s="866"/>
      <c r="AN15" s="866"/>
      <c r="AO15" s="866"/>
      <c r="AP15" s="674">
        <f t="shared" si="1"/>
        <v>0.14215966571365735</v>
      </c>
      <c r="AQ15" s="674"/>
      <c r="AR15" s="668"/>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45470</v>
      </c>
      <c r="AJ16" s="866"/>
      <c r="AK16" s="866"/>
      <c r="AL16" s="866">
        <v>17306</v>
      </c>
      <c r="AM16" s="866"/>
      <c r="AN16" s="866"/>
      <c r="AO16" s="866"/>
      <c r="AP16" s="674">
        <f t="shared" si="1"/>
        <v>0.38060259511765998</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45470</v>
      </c>
      <c r="AJ17" s="866"/>
      <c r="AK17" s="866"/>
      <c r="AL17" s="866">
        <v>36974</v>
      </c>
      <c r="AM17" s="866"/>
      <c r="AN17" s="866"/>
      <c r="AO17" s="866"/>
      <c r="AP17" s="674">
        <f t="shared" si="1"/>
        <v>0.81315152848031669</v>
      </c>
      <c r="AQ17" s="674"/>
      <c r="AR17" s="668"/>
    </row>
    <row r="18" spans="2:44" ht="28.5" customHeight="1">
      <c r="B18" s="43" t="s">
        <v>355</v>
      </c>
      <c r="C18" s="607" t="s">
        <v>112</v>
      </c>
      <c r="D18" s="608"/>
      <c r="E18" s="644"/>
      <c r="F18" s="644"/>
      <c r="G18" s="632" t="s">
        <v>356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45470</v>
      </c>
      <c r="AJ18" s="866"/>
      <c r="AK18" s="866"/>
      <c r="AL18" s="866">
        <v>46700</v>
      </c>
      <c r="AM18" s="866"/>
      <c r="AN18" s="866"/>
      <c r="AO18" s="866"/>
      <c r="AP18" s="674">
        <f t="shared" si="1"/>
        <v>1.0270508027270728</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45577</v>
      </c>
      <c r="AJ19" s="865"/>
      <c r="AK19" s="865"/>
      <c r="AL19" s="865">
        <v>9890</v>
      </c>
      <c r="AM19" s="865"/>
      <c r="AN19" s="865"/>
      <c r="AO19" s="865"/>
      <c r="AP19" s="671">
        <f t="shared" si="1"/>
        <v>0.21699541435373104</v>
      </c>
      <c r="AQ19" s="671"/>
      <c r="AR19" s="669"/>
    </row>
    <row r="20" spans="2:44" ht="45.4" customHeight="1">
      <c r="B20" s="607"/>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c r="AJ20" s="865"/>
      <c r="AK20" s="865"/>
      <c r="AL20" s="865"/>
      <c r="AM20" s="865"/>
      <c r="AN20" s="865"/>
      <c r="AO20" s="865"/>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59">
        <f>AL15</f>
        <v>6464</v>
      </c>
      <c r="E23" s="860"/>
      <c r="F23" s="861"/>
      <c r="G23" s="862">
        <f>AL16</f>
        <v>17306</v>
      </c>
      <c r="H23" s="863"/>
      <c r="I23" s="863"/>
      <c r="J23" s="863"/>
      <c r="K23" s="863"/>
      <c r="L23" s="863"/>
      <c r="M23" s="864"/>
      <c r="N23" s="859">
        <f>AL17</f>
        <v>36974</v>
      </c>
      <c r="O23" s="860"/>
      <c r="P23" s="860"/>
      <c r="Q23" s="860"/>
      <c r="R23" s="860"/>
      <c r="S23" s="861"/>
      <c r="T23" s="862">
        <f>AL18</f>
        <v>46700</v>
      </c>
      <c r="U23" s="863"/>
      <c r="V23" s="863"/>
      <c r="W23" s="863"/>
      <c r="X23" s="864"/>
      <c r="Z23" s="52"/>
      <c r="AA23" s="52"/>
    </row>
    <row r="24" spans="2:44" ht="18.95" customHeight="1">
      <c r="B24" s="633" t="s">
        <v>26</v>
      </c>
      <c r="C24" s="633"/>
      <c r="D24" s="859">
        <f>AI15</f>
        <v>45470</v>
      </c>
      <c r="E24" s="860"/>
      <c r="F24" s="861"/>
      <c r="G24" s="862">
        <f>AI16</f>
        <v>45470</v>
      </c>
      <c r="H24" s="863"/>
      <c r="I24" s="863"/>
      <c r="J24" s="863"/>
      <c r="K24" s="863"/>
      <c r="L24" s="863"/>
      <c r="M24" s="864"/>
      <c r="N24" s="859">
        <f>AI17</f>
        <v>45470</v>
      </c>
      <c r="O24" s="860"/>
      <c r="P24" s="860"/>
      <c r="Q24" s="860"/>
      <c r="R24" s="860"/>
      <c r="S24" s="861"/>
      <c r="T24" s="862">
        <f>AI18</f>
        <v>45470</v>
      </c>
      <c r="U24" s="863"/>
      <c r="V24" s="863"/>
      <c r="W24" s="863"/>
      <c r="X24" s="864"/>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0.14215966571365735</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2">$O$14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2"/>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0.38060259511765998</v>
      </c>
      <c r="D30" s="686">
        <f t="shared" ref="D30:D36" si="3">$E$18</f>
        <v>0</v>
      </c>
      <c r="E30" s="92">
        <f t="shared" si="2"/>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2"/>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2"/>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0.81315152848031669</v>
      </c>
      <c r="D33" s="686">
        <f t="shared" si="3"/>
        <v>0</v>
      </c>
      <c r="E33" s="92">
        <f t="shared" si="2"/>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2"/>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2"/>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1.0270508027270728</v>
      </c>
      <c r="D36" s="686">
        <f t="shared" si="3"/>
        <v>0</v>
      </c>
      <c r="E36" s="92">
        <f t="shared" si="2"/>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2"/>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
    <tabColor theme="8"/>
    <pageSetUpPr fitToPage="1"/>
  </sheetPr>
  <dimension ref="B1:AW50"/>
  <sheetViews>
    <sheetView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0" width="4.625" style="46"/>
    <col min="41" max="41" width="4.625" style="46" customWidth="1"/>
    <col min="42" max="43" width="4.625" style="46"/>
    <col min="44" max="44" width="9.125" style="23" customWidth="1"/>
    <col min="45" max="47" width="4.625" style="23"/>
    <col min="48" max="48" width="18.875" style="23" customWidth="1"/>
    <col min="49" max="49" width="14.75" style="158" customWidth="1"/>
    <col min="50" max="16384" width="4.625" style="23"/>
  </cols>
  <sheetData>
    <row r="1" spans="2:49"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9"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9"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9"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9"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c r="AW5" s="158"/>
    </row>
    <row r="6" spans="2:49"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9" ht="14.25" customHeight="1">
      <c r="B7" s="645" t="s">
        <v>76</v>
      </c>
      <c r="C7" s="646"/>
      <c r="D7" s="646"/>
      <c r="E7" s="646"/>
      <c r="F7" s="647"/>
      <c r="G7" s="651" t="s">
        <v>85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86">
        <f>+'[3]2019-2025'!$I$64</f>
        <v>12996554456.360001</v>
      </c>
      <c r="AJ7" s="887"/>
      <c r="AK7" s="888"/>
      <c r="AL7" s="886">
        <f>+AI7</f>
        <v>12996554456.360001</v>
      </c>
      <c r="AM7" s="887"/>
      <c r="AN7" s="887"/>
      <c r="AO7" s="888"/>
      <c r="AP7" s="705">
        <f t="shared" ref="AP7" si="0">AL7/AI7</f>
        <v>1</v>
      </c>
      <c r="AQ7" s="706"/>
      <c r="AR7" s="668">
        <f>+AP7</f>
        <v>1</v>
      </c>
    </row>
    <row r="8" spans="2:49"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89"/>
      <c r="AJ8" s="890"/>
      <c r="AK8" s="891"/>
      <c r="AL8" s="889"/>
      <c r="AM8" s="890"/>
      <c r="AN8" s="890"/>
      <c r="AO8" s="891"/>
      <c r="AP8" s="707"/>
      <c r="AQ8" s="708"/>
      <c r="AR8" s="668"/>
    </row>
    <row r="9" spans="2:49"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89"/>
      <c r="AJ9" s="890"/>
      <c r="AK9" s="891"/>
      <c r="AL9" s="889"/>
      <c r="AM9" s="890"/>
      <c r="AN9" s="890"/>
      <c r="AO9" s="891"/>
      <c r="AP9" s="707"/>
      <c r="AQ9" s="708"/>
      <c r="AR9" s="668"/>
    </row>
    <row r="10" spans="2:49"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92"/>
      <c r="AJ10" s="893"/>
      <c r="AK10" s="894"/>
      <c r="AL10" s="892"/>
      <c r="AM10" s="893"/>
      <c r="AN10" s="893"/>
      <c r="AO10" s="894"/>
      <c r="AP10" s="709"/>
      <c r="AQ10" s="710"/>
      <c r="AR10" s="668"/>
    </row>
    <row r="11" spans="2:49" ht="38.25" customHeight="1">
      <c r="B11" s="640" t="s">
        <v>367</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95">
        <f>+'[4]F11  PLAN DE INVERSIÓN Y EJE...'!$J$11</f>
        <v>9265000000</v>
      </c>
      <c r="AJ11" s="896"/>
      <c r="AK11" s="897"/>
      <c r="AL11" s="895">
        <f>+'[4]F11  PLAN DE INVERSIÓN Y EJE...'!$O$11</f>
        <v>8431029107.6499996</v>
      </c>
      <c r="AM11" s="896"/>
      <c r="AN11" s="896"/>
      <c r="AO11" s="897"/>
      <c r="AP11" s="904">
        <f>AL11/AI11</f>
        <v>0.90998695171613597</v>
      </c>
      <c r="AQ11" s="905"/>
      <c r="AR11" s="874">
        <f>+AP11</f>
        <v>0.90998695171613597</v>
      </c>
    </row>
    <row r="12" spans="2:49"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98"/>
      <c r="AJ12" s="899"/>
      <c r="AK12" s="900"/>
      <c r="AL12" s="898"/>
      <c r="AM12" s="899"/>
      <c r="AN12" s="899"/>
      <c r="AO12" s="900"/>
      <c r="AP12" s="906"/>
      <c r="AQ12" s="907"/>
      <c r="AR12" s="874"/>
    </row>
    <row r="13" spans="2:49"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98"/>
      <c r="AJ13" s="899"/>
      <c r="AK13" s="900"/>
      <c r="AL13" s="898"/>
      <c r="AM13" s="899"/>
      <c r="AN13" s="899"/>
      <c r="AO13" s="900"/>
      <c r="AP13" s="906"/>
      <c r="AQ13" s="907"/>
      <c r="AR13" s="874"/>
    </row>
    <row r="14" spans="2:49" ht="29.25" customHeight="1">
      <c r="B14" s="632" t="s">
        <v>399</v>
      </c>
      <c r="C14" s="632"/>
      <c r="D14" s="632"/>
      <c r="E14" s="632"/>
      <c r="F14" s="632"/>
      <c r="G14" s="644" t="s">
        <v>371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901"/>
      <c r="AJ14" s="902"/>
      <c r="AK14" s="903"/>
      <c r="AL14" s="901"/>
      <c r="AM14" s="902"/>
      <c r="AN14" s="902"/>
      <c r="AO14" s="903"/>
      <c r="AP14" s="908"/>
      <c r="AQ14" s="909"/>
      <c r="AR14" s="874"/>
      <c r="AV14" s="23" t="s">
        <v>384</v>
      </c>
      <c r="AW14" s="158">
        <f>4300000*3</f>
        <v>12900000</v>
      </c>
    </row>
    <row r="15" spans="2:49"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82">
        <f>+'[5]Plan Adqu ICFE 2021 Total'!$X$311</f>
        <v>98790000</v>
      </c>
      <c r="AJ15" s="882"/>
      <c r="AK15" s="882"/>
      <c r="AL15" s="882">
        <f>+AW18</f>
        <v>132524797</v>
      </c>
      <c r="AM15" s="882"/>
      <c r="AN15" s="882"/>
      <c r="AO15" s="882"/>
      <c r="AP15" s="674">
        <f>AL15/AI15</f>
        <v>1.3414798765057192</v>
      </c>
      <c r="AQ15" s="674"/>
      <c r="AR15" s="668">
        <f t="shared" ref="AR15" si="1">SUM(AP15:AQ18)/4</f>
        <v>0.50185314813564108</v>
      </c>
      <c r="AV15" s="23" t="s">
        <v>385</v>
      </c>
      <c r="AW15" s="158">
        <f t="shared" ref="AW15:AW16" si="2">4300000*3</f>
        <v>12900000</v>
      </c>
    </row>
    <row r="16" spans="2:49"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82">
        <f>+'[5]Plan Adqu ICFE 2021 Total'!$Y$294+'[5]Plan Adqu ICFE 2021 Total'!$Z$294+'[5]Plan Adqu ICFE 2021 Total'!$AA$294</f>
        <v>2294354000</v>
      </c>
      <c r="AJ16" s="882"/>
      <c r="AK16" s="882"/>
      <c r="AL16" s="883">
        <v>1527885390.77</v>
      </c>
      <c r="AM16" s="884"/>
      <c r="AN16" s="884"/>
      <c r="AO16" s="885"/>
      <c r="AP16" s="674">
        <f>+AL16/AI16</f>
        <v>0.66593271603684523</v>
      </c>
      <c r="AQ16" s="674"/>
      <c r="AR16" s="668"/>
      <c r="AV16" s="23" t="s">
        <v>386</v>
      </c>
      <c r="AW16" s="158">
        <f t="shared" si="2"/>
        <v>12900000</v>
      </c>
    </row>
    <row r="17" spans="2:49"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82">
        <f>+'[5]Plan Adqu ICFE 2021 Total'!$AB$294+'[5]Plan Adqu ICFE 2021 Total'!$AC$294+'[5]Plan Adqu ICFE 2021 Total'!$AD$294</f>
        <v>6048354000</v>
      </c>
      <c r="AJ17" s="882"/>
      <c r="AK17" s="882"/>
      <c r="AL17" s="882">
        <v>3816321878.1999998</v>
      </c>
      <c r="AM17" s="882"/>
      <c r="AN17" s="882"/>
      <c r="AO17" s="882"/>
      <c r="AP17" s="674">
        <v>0</v>
      </c>
      <c r="AQ17" s="674"/>
      <c r="AR17" s="668"/>
      <c r="AV17" s="23" t="s">
        <v>387</v>
      </c>
      <c r="AW17" s="158">
        <v>93824797</v>
      </c>
    </row>
    <row r="18" spans="2:49" ht="28.5" customHeight="1">
      <c r="B18" s="43" t="s">
        <v>195</v>
      </c>
      <c r="C18" s="607" t="s">
        <v>112</v>
      </c>
      <c r="D18" s="608"/>
      <c r="E18" s="644">
        <v>1</v>
      </c>
      <c r="F18" s="644"/>
      <c r="G18" s="632" t="s">
        <v>372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82">
        <f>+'[5]Plan Adqu ICFE 2021 Total'!$AE$294+'[5]Plan Adqu ICFE 2021 Total'!$AF$294+'[5]Plan Adqu ICFE 2021 Total'!$AG$294</f>
        <v>96502000</v>
      </c>
      <c r="AJ18" s="882"/>
      <c r="AK18" s="882"/>
      <c r="AL18" s="882">
        <v>1990110896.8</v>
      </c>
      <c r="AM18" s="882"/>
      <c r="AN18" s="882"/>
      <c r="AO18" s="882"/>
      <c r="AP18" s="674">
        <v>0</v>
      </c>
      <c r="AQ18" s="674"/>
      <c r="AR18" s="668"/>
      <c r="AW18" s="158">
        <f>SUM(AW14:AW17)</f>
        <v>132524797</v>
      </c>
    </row>
    <row r="19" spans="2:49"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81"/>
      <c r="AJ19" s="881"/>
      <c r="AK19" s="881"/>
      <c r="AL19" s="881"/>
      <c r="AM19" s="881"/>
      <c r="AN19" s="881"/>
      <c r="AO19" s="881"/>
      <c r="AP19" s="671" t="e">
        <f t="shared" ref="AP19:AP22" si="3">AL19/AI19</f>
        <v>#DIV/0!</v>
      </c>
      <c r="AQ19" s="671"/>
      <c r="AR19" s="669" t="e">
        <f t="shared" ref="AR19" si="4">SUM(AP19:AQ22)/4</f>
        <v>#DIV/0!</v>
      </c>
    </row>
    <row r="20" spans="2:49" ht="45.4" customHeight="1">
      <c r="B20" s="607" t="s">
        <v>397</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81"/>
      <c r="AJ20" s="881"/>
      <c r="AK20" s="881"/>
      <c r="AL20" s="881"/>
      <c r="AM20" s="881"/>
      <c r="AN20" s="881"/>
      <c r="AO20" s="881"/>
      <c r="AP20" s="671" t="e">
        <f t="shared" si="3"/>
        <v>#DIV/0!</v>
      </c>
      <c r="AQ20" s="671"/>
      <c r="AR20" s="669"/>
    </row>
    <row r="21" spans="2:49"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81"/>
      <c r="AJ21" s="881"/>
      <c r="AK21" s="881"/>
      <c r="AL21" s="881"/>
      <c r="AM21" s="881"/>
      <c r="AN21" s="881"/>
      <c r="AO21" s="881"/>
      <c r="AP21" s="671" t="e">
        <f t="shared" si="3"/>
        <v>#DIV/0!</v>
      </c>
      <c r="AQ21" s="671"/>
      <c r="AR21" s="669"/>
    </row>
    <row r="22" spans="2:49"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81"/>
      <c r="AJ22" s="881"/>
      <c r="AK22" s="881"/>
      <c r="AL22" s="881"/>
      <c r="AM22" s="881"/>
      <c r="AN22" s="881"/>
      <c r="AO22" s="881"/>
      <c r="AP22" s="671" t="e">
        <f t="shared" si="3"/>
        <v>#DIV/0!</v>
      </c>
      <c r="AQ22" s="671"/>
      <c r="AR22" s="669"/>
    </row>
    <row r="23" spans="2:49" ht="18.95" customHeight="1">
      <c r="B23" s="633" t="s">
        <v>25</v>
      </c>
      <c r="C23" s="633"/>
      <c r="D23" s="875">
        <f>AL15</f>
        <v>132524797</v>
      </c>
      <c r="E23" s="876"/>
      <c r="F23" s="877"/>
      <c r="G23" s="878">
        <f>AL16</f>
        <v>1527885390.77</v>
      </c>
      <c r="H23" s="879"/>
      <c r="I23" s="879"/>
      <c r="J23" s="879"/>
      <c r="K23" s="879"/>
      <c r="L23" s="879"/>
      <c r="M23" s="880"/>
      <c r="N23" s="875">
        <f>AL17</f>
        <v>3816321878.1999998</v>
      </c>
      <c r="O23" s="876"/>
      <c r="P23" s="876"/>
      <c r="Q23" s="876"/>
      <c r="R23" s="876"/>
      <c r="S23" s="877"/>
      <c r="T23" s="878">
        <f>AL18</f>
        <v>1990110896.8</v>
      </c>
      <c r="U23" s="879"/>
      <c r="V23" s="879"/>
      <c r="W23" s="879"/>
      <c r="X23" s="880"/>
      <c r="Z23" s="52"/>
      <c r="AA23" s="52"/>
      <c r="AV23" s="195"/>
    </row>
    <row r="24" spans="2:49" ht="18.95" customHeight="1">
      <c r="B24" s="633" t="s">
        <v>26</v>
      </c>
      <c r="C24" s="633"/>
      <c r="D24" s="875">
        <f>AI15</f>
        <v>98790000</v>
      </c>
      <c r="E24" s="876"/>
      <c r="F24" s="877"/>
      <c r="G24" s="878">
        <f>AI16</f>
        <v>2294354000</v>
      </c>
      <c r="H24" s="879"/>
      <c r="I24" s="879"/>
      <c r="J24" s="879"/>
      <c r="K24" s="879"/>
      <c r="L24" s="879"/>
      <c r="M24" s="880"/>
      <c r="N24" s="875">
        <f>AI17</f>
        <v>6048354000</v>
      </c>
      <c r="O24" s="876"/>
      <c r="P24" s="876"/>
      <c r="Q24" s="876"/>
      <c r="R24" s="876"/>
      <c r="S24" s="877"/>
      <c r="T24" s="878">
        <f>AI18</f>
        <v>96502000</v>
      </c>
      <c r="U24" s="879"/>
      <c r="V24" s="879"/>
      <c r="W24" s="879"/>
      <c r="X24" s="880"/>
      <c r="Y24" s="53"/>
      <c r="AV24" s="195"/>
    </row>
    <row r="25" spans="2:49"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c r="AV25" s="195">
        <f>AL11/4</f>
        <v>2107757276.9124999</v>
      </c>
    </row>
    <row r="26" spans="2:49"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c r="AV26" s="195">
        <f>AL7/4</f>
        <v>3249138614.0900002</v>
      </c>
    </row>
    <row r="27" spans="2:49" ht="17.649999999999999" customHeight="1">
      <c r="B27" s="93" t="s">
        <v>31</v>
      </c>
      <c r="C27" s="686">
        <f>IF(ISERROR($D$23/$D$24),0,$D$23/$D$24)</f>
        <v>1.3414798765057192</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9" ht="17.649999999999999" customHeight="1">
      <c r="B28" s="93" t="s">
        <v>32</v>
      </c>
      <c r="C28" s="687"/>
      <c r="D28" s="687"/>
      <c r="E28" s="92">
        <f t="shared" ref="E28:E37" si="5">$O$14</f>
        <v>1</v>
      </c>
      <c r="F28" s="28"/>
      <c r="G28" s="28"/>
      <c r="H28" s="590"/>
      <c r="I28" s="590"/>
      <c r="J28" s="590"/>
      <c r="K28" s="590"/>
      <c r="L28" s="6"/>
      <c r="M28" s="5"/>
      <c r="N28" s="590"/>
      <c r="O28" s="590"/>
      <c r="P28" s="590"/>
      <c r="Q28" s="590"/>
      <c r="R28" s="590"/>
      <c r="S28" s="628"/>
      <c r="T28" s="628"/>
      <c r="U28" s="628"/>
      <c r="V28" s="628"/>
      <c r="W28" s="628"/>
      <c r="X28" s="629"/>
    </row>
    <row r="29" spans="2:49" ht="17.649999999999999" customHeight="1">
      <c r="B29" s="93" t="s">
        <v>33</v>
      </c>
      <c r="C29" s="688"/>
      <c r="D29" s="688"/>
      <c r="E29" s="92">
        <f t="shared" si="5"/>
        <v>1</v>
      </c>
      <c r="F29" s="28"/>
      <c r="G29" s="28"/>
      <c r="H29" s="590"/>
      <c r="I29" s="590"/>
      <c r="J29" s="590"/>
      <c r="K29" s="590"/>
      <c r="L29" s="6"/>
      <c r="M29" s="5"/>
      <c r="N29" s="590"/>
      <c r="O29" s="590"/>
      <c r="P29" s="590"/>
      <c r="Q29" s="590"/>
      <c r="R29" s="590"/>
      <c r="S29" s="628"/>
      <c r="T29" s="628"/>
      <c r="U29" s="628"/>
      <c r="V29" s="628"/>
      <c r="W29" s="628"/>
      <c r="X29" s="629"/>
    </row>
    <row r="30" spans="2:49" ht="17.649999999999999" customHeight="1">
      <c r="B30" s="93" t="s">
        <v>34</v>
      </c>
      <c r="C30" s="686">
        <f>IF(ISERROR($G$23/$G$24),0,$G$23/$G$24)</f>
        <v>0.66593271603684523</v>
      </c>
      <c r="D30" s="686">
        <f t="shared" ref="D30:D36" si="6">$E$18</f>
        <v>1</v>
      </c>
      <c r="E30" s="92">
        <f t="shared" si="5"/>
        <v>1</v>
      </c>
      <c r="F30" s="28"/>
      <c r="G30" s="28"/>
      <c r="H30" s="590"/>
      <c r="I30" s="590"/>
      <c r="J30" s="590"/>
      <c r="K30" s="590"/>
      <c r="L30" s="6"/>
      <c r="M30" s="5"/>
      <c r="N30" s="590"/>
      <c r="O30" s="590"/>
      <c r="P30" s="590"/>
      <c r="Q30" s="590"/>
      <c r="R30" s="590"/>
      <c r="S30" s="628"/>
      <c r="T30" s="628"/>
      <c r="U30" s="628"/>
      <c r="V30" s="628"/>
      <c r="W30" s="628"/>
      <c r="X30" s="629"/>
    </row>
    <row r="31" spans="2:49" ht="17.649999999999999" customHeight="1">
      <c r="B31" s="93" t="s">
        <v>35</v>
      </c>
      <c r="C31" s="687"/>
      <c r="D31" s="687"/>
      <c r="E31" s="92">
        <f t="shared" si="5"/>
        <v>1</v>
      </c>
      <c r="F31" s="28"/>
      <c r="G31" s="28"/>
      <c r="H31" s="590"/>
      <c r="I31" s="590"/>
      <c r="J31" s="590"/>
      <c r="K31" s="590"/>
      <c r="L31" s="6"/>
      <c r="M31" s="5"/>
      <c r="N31" s="590"/>
      <c r="O31" s="590"/>
      <c r="P31" s="590"/>
      <c r="Q31" s="590"/>
      <c r="R31" s="590"/>
      <c r="S31" s="628"/>
      <c r="T31" s="628"/>
      <c r="U31" s="628"/>
      <c r="V31" s="628"/>
      <c r="W31" s="628"/>
      <c r="X31" s="629"/>
    </row>
    <row r="32" spans="2:49" ht="17.649999999999999" customHeight="1">
      <c r="B32" s="93" t="s">
        <v>36</v>
      </c>
      <c r="C32" s="688"/>
      <c r="D32" s="688"/>
      <c r="E32" s="92">
        <f t="shared" si="5"/>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0.63096866985629474</v>
      </c>
      <c r="D33" s="686">
        <f t="shared" si="6"/>
        <v>1</v>
      </c>
      <c r="E33" s="92">
        <f t="shared" si="5"/>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5"/>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5"/>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20.622483438685208</v>
      </c>
      <c r="D36" s="686">
        <f t="shared" si="6"/>
        <v>1</v>
      </c>
      <c r="E36" s="92">
        <f t="shared" si="5"/>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5"/>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03">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AD8:AH8"/>
    <mergeCell ref="B9:X9"/>
    <mergeCell ref="AD9:AH9"/>
    <mergeCell ref="B7:F8"/>
    <mergeCell ref="G7:X8"/>
    <mergeCell ref="AB7:AC10"/>
    <mergeCell ref="AD7:AH7"/>
    <mergeCell ref="B10:X10"/>
    <mergeCell ref="AD10:AH10"/>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
    <tabColor theme="8"/>
    <pageSetUpPr fitToPage="1"/>
  </sheetPr>
  <dimension ref="B1:AR50"/>
  <sheetViews>
    <sheetView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914">
        <v>11</v>
      </c>
      <c r="AJ7" s="915"/>
      <c r="AK7" s="916"/>
      <c r="AL7" s="914">
        <v>11</v>
      </c>
      <c r="AM7" s="915"/>
      <c r="AN7" s="915"/>
      <c r="AO7" s="916"/>
      <c r="AP7" s="705">
        <f t="shared" ref="AP7" si="0">AL7/AI7</f>
        <v>1</v>
      </c>
      <c r="AQ7" s="706"/>
      <c r="AR7" s="668">
        <f>+AP7</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917"/>
      <c r="AJ8" s="918"/>
      <c r="AK8" s="919"/>
      <c r="AL8" s="917"/>
      <c r="AM8" s="918"/>
      <c r="AN8" s="918"/>
      <c r="AO8" s="919"/>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917"/>
      <c r="AJ9" s="918"/>
      <c r="AK9" s="919"/>
      <c r="AL9" s="917"/>
      <c r="AM9" s="918"/>
      <c r="AN9" s="918"/>
      <c r="AO9" s="919"/>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920"/>
      <c r="AJ10" s="921"/>
      <c r="AK10" s="922"/>
      <c r="AL10" s="920"/>
      <c r="AM10" s="921"/>
      <c r="AN10" s="921"/>
      <c r="AO10" s="922"/>
      <c r="AP10" s="709"/>
      <c r="AQ10" s="710"/>
      <c r="AR10" s="668"/>
    </row>
    <row r="11" spans="2:44" ht="38.25" customHeight="1">
      <c r="B11" s="640" t="s">
        <v>368</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923">
        <v>15</v>
      </c>
      <c r="AJ11" s="924"/>
      <c r="AK11" s="925"/>
      <c r="AL11" s="923">
        <v>15</v>
      </c>
      <c r="AM11" s="924"/>
      <c r="AN11" s="924"/>
      <c r="AO11" s="925"/>
      <c r="AP11" s="751">
        <f>AL11/AI11</f>
        <v>1</v>
      </c>
      <c r="AQ11" s="752"/>
      <c r="AR11" s="669">
        <f>SUM(AP11:AQ14)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926"/>
      <c r="AJ12" s="927"/>
      <c r="AK12" s="928"/>
      <c r="AL12" s="926"/>
      <c r="AM12" s="927"/>
      <c r="AN12" s="927"/>
      <c r="AO12" s="928"/>
      <c r="AP12" s="753"/>
      <c r="AQ12" s="754"/>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926"/>
      <c r="AJ13" s="927"/>
      <c r="AK13" s="928"/>
      <c r="AL13" s="926"/>
      <c r="AM13" s="927"/>
      <c r="AN13" s="927"/>
      <c r="AO13" s="928"/>
      <c r="AP13" s="753"/>
      <c r="AQ13" s="754"/>
      <c r="AR13" s="669"/>
    </row>
    <row r="14" spans="2:44" ht="29.25" customHeight="1">
      <c r="B14" s="632" t="s">
        <v>400</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929"/>
      <c r="AJ14" s="930"/>
      <c r="AK14" s="931"/>
      <c r="AL14" s="929"/>
      <c r="AM14" s="930"/>
      <c r="AN14" s="930"/>
      <c r="AO14" s="931"/>
      <c r="AP14" s="755"/>
      <c r="AQ14" s="756"/>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910">
        <v>2</v>
      </c>
      <c r="AJ15" s="910"/>
      <c r="AK15" s="910"/>
      <c r="AL15" s="910">
        <v>2</v>
      </c>
      <c r="AM15" s="910"/>
      <c r="AN15" s="910"/>
      <c r="AO15" s="910"/>
      <c r="AP15" s="674">
        <f t="shared" ref="AP15:AP22" si="1">AL15/AI15</f>
        <v>1</v>
      </c>
      <c r="AQ15" s="674"/>
      <c r="AR15" s="668">
        <f t="shared" ref="AR15" si="2">SUM(AP15:AQ18)/4</f>
        <v>1.125</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910">
        <v>0</v>
      </c>
      <c r="AJ16" s="910"/>
      <c r="AK16" s="910"/>
      <c r="AL16" s="910">
        <v>0</v>
      </c>
      <c r="AM16" s="910"/>
      <c r="AN16" s="910"/>
      <c r="AO16" s="910"/>
      <c r="AP16" s="674">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910">
        <v>0</v>
      </c>
      <c r="AJ17" s="910"/>
      <c r="AK17" s="910"/>
      <c r="AL17" s="910">
        <v>0</v>
      </c>
      <c r="AM17" s="910"/>
      <c r="AN17" s="910"/>
      <c r="AO17" s="910"/>
      <c r="AP17" s="674">
        <v>1</v>
      </c>
      <c r="AQ17" s="674"/>
      <c r="AR17" s="668"/>
    </row>
    <row r="18" spans="2:44" ht="28.5" customHeight="1">
      <c r="B18" s="135" t="s">
        <v>195</v>
      </c>
      <c r="C18" s="607" t="s">
        <v>112</v>
      </c>
      <c r="D18" s="608"/>
      <c r="E18" s="644">
        <v>1</v>
      </c>
      <c r="F18" s="644"/>
      <c r="G18" s="632" t="s">
        <v>372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910">
        <v>2</v>
      </c>
      <c r="AJ18" s="910"/>
      <c r="AK18" s="910"/>
      <c r="AL18" s="910">
        <v>3</v>
      </c>
      <c r="AM18" s="910"/>
      <c r="AN18" s="910"/>
      <c r="AO18" s="910"/>
      <c r="AP18" s="674">
        <f t="shared" ref="AP18" si="3">AL18/AI18</f>
        <v>1.5</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911"/>
      <c r="AJ19" s="912"/>
      <c r="AK19" s="913"/>
      <c r="AL19" s="819"/>
      <c r="AM19" s="819"/>
      <c r="AN19" s="819"/>
      <c r="AO19" s="819"/>
      <c r="AP19" s="671" t="e">
        <f t="shared" si="1"/>
        <v>#DIV/0!</v>
      </c>
      <c r="AQ19" s="671"/>
      <c r="AR19" s="669" t="e">
        <f t="shared" ref="AR19" si="4">SUM(AP19:AQ22)/4</f>
        <v>#DIV/0!</v>
      </c>
    </row>
    <row r="20" spans="2:44" ht="45.4" customHeight="1">
      <c r="B20" s="607" t="s">
        <v>401</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19"/>
      <c r="AJ20" s="819"/>
      <c r="AK20" s="819"/>
      <c r="AL20" s="819"/>
      <c r="AM20" s="819"/>
      <c r="AN20" s="819"/>
      <c r="AO20" s="819"/>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19"/>
      <c r="AJ21" s="819"/>
      <c r="AK21" s="819"/>
      <c r="AL21" s="819"/>
      <c r="AM21" s="819"/>
      <c r="AN21" s="819"/>
      <c r="AO21" s="819"/>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19"/>
      <c r="AJ22" s="819"/>
      <c r="AK22" s="819"/>
      <c r="AL22" s="819"/>
      <c r="AM22" s="819"/>
      <c r="AN22" s="819"/>
      <c r="AO22" s="819"/>
      <c r="AP22" s="671" t="e">
        <f t="shared" si="1"/>
        <v>#DIV/0!</v>
      </c>
      <c r="AQ22" s="671"/>
      <c r="AR22" s="669"/>
    </row>
    <row r="23" spans="2:44" ht="18.95" customHeight="1">
      <c r="B23" s="633" t="s">
        <v>25</v>
      </c>
      <c r="C23" s="633"/>
      <c r="D23" s="682">
        <f>AL15</f>
        <v>2</v>
      </c>
      <c r="E23" s="683"/>
      <c r="F23" s="684"/>
      <c r="G23" s="685">
        <f>AL16</f>
        <v>0</v>
      </c>
      <c r="H23" s="872"/>
      <c r="I23" s="872"/>
      <c r="J23" s="872"/>
      <c r="K23" s="872"/>
      <c r="L23" s="872"/>
      <c r="M23" s="873"/>
      <c r="N23" s="682">
        <f>AL17</f>
        <v>0</v>
      </c>
      <c r="O23" s="683"/>
      <c r="P23" s="683"/>
      <c r="Q23" s="683"/>
      <c r="R23" s="683"/>
      <c r="S23" s="684"/>
      <c r="T23" s="685">
        <f>AL18</f>
        <v>3</v>
      </c>
      <c r="U23" s="643"/>
      <c r="V23" s="643"/>
      <c r="W23" s="643"/>
      <c r="X23" s="608"/>
      <c r="Z23" s="52"/>
      <c r="AA23" s="52"/>
    </row>
    <row r="24" spans="2:44" ht="18.95" customHeight="1">
      <c r="B24" s="633" t="s">
        <v>26</v>
      </c>
      <c r="C24" s="633"/>
      <c r="D24" s="682">
        <f>AI15</f>
        <v>2</v>
      </c>
      <c r="E24" s="683"/>
      <c r="F24" s="684"/>
      <c r="G24" s="685">
        <f>AI16</f>
        <v>0</v>
      </c>
      <c r="H24" s="643"/>
      <c r="I24" s="643"/>
      <c r="J24" s="643"/>
      <c r="K24" s="643"/>
      <c r="L24" s="643"/>
      <c r="M24" s="608"/>
      <c r="N24" s="682">
        <f>AI17</f>
        <v>0</v>
      </c>
      <c r="O24" s="683"/>
      <c r="P24" s="683"/>
      <c r="Q24" s="683"/>
      <c r="R24" s="683"/>
      <c r="S24" s="684"/>
      <c r="T24" s="685">
        <f>AI18</f>
        <v>2</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5">$O$14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5"/>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v>
      </c>
      <c r="D30" s="686">
        <f t="shared" ref="D30:D36" si="6">$E$18</f>
        <v>1</v>
      </c>
      <c r="E30" s="92">
        <f t="shared" si="5"/>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5"/>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5"/>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v>
      </c>
      <c r="D33" s="686">
        <f t="shared" si="6"/>
        <v>1</v>
      </c>
      <c r="E33" s="92">
        <f t="shared" si="5"/>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5"/>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5"/>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1.5</v>
      </c>
      <c r="D36" s="686">
        <f t="shared" si="6"/>
        <v>1</v>
      </c>
      <c r="E36" s="92">
        <f t="shared" si="5"/>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5"/>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03">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D23:F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B7:F8"/>
    <mergeCell ref="G7:X8"/>
    <mergeCell ref="AB7:AC10"/>
    <mergeCell ref="AD7:AH7"/>
    <mergeCell ref="B10:X10"/>
    <mergeCell ref="AD10:AH10"/>
    <mergeCell ref="AD8:AH8"/>
    <mergeCell ref="B9:X9"/>
    <mergeCell ref="AD9:AH9"/>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5"/>
    <mergeCell ref="AI16:AK16"/>
    <mergeCell ref="AD20:AH20"/>
    <mergeCell ref="AI20:AK20"/>
    <mergeCell ref="AL20:AO20"/>
    <mergeCell ref="AP20:AQ20"/>
    <mergeCell ref="AD18:AH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G23:M23"/>
    <mergeCell ref="N23:S23"/>
    <mergeCell ref="T23:X23"/>
    <mergeCell ref="D24:F24"/>
    <mergeCell ref="G24:M24"/>
    <mergeCell ref="N24:S24"/>
    <mergeCell ref="T24:X24"/>
    <mergeCell ref="B25:X25"/>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I47:X47"/>
    <mergeCell ref="B48:X48"/>
    <mergeCell ref="B46:H46"/>
    <mergeCell ref="L46:M46"/>
    <mergeCell ref="Q46:R46"/>
    <mergeCell ref="H34:I34"/>
    <mergeCell ref="J34:K34"/>
    <mergeCell ref="N34:O34"/>
    <mergeCell ref="P34:R34"/>
    <mergeCell ref="H35:I35"/>
    <mergeCell ref="J35:K35"/>
    <mergeCell ref="N35:O35"/>
    <mergeCell ref="H36:I36"/>
    <mergeCell ref="J36:K36"/>
    <mergeCell ref="N36:O36"/>
    <mergeCell ref="P36:R36"/>
    <mergeCell ref="H37:I37"/>
    <mergeCell ref="J37:K37"/>
    <mergeCell ref="N33:O33"/>
    <mergeCell ref="P33:R33"/>
    <mergeCell ref="N37:O37"/>
    <mergeCell ref="P37:R37"/>
    <mergeCell ref="AI17:AK17"/>
    <mergeCell ref="AI18:AK18"/>
    <mergeCell ref="AR7:AR10"/>
    <mergeCell ref="AR11:AR14"/>
    <mergeCell ref="AR15:AR18"/>
    <mergeCell ref="AR19:AR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S50"/>
  <sheetViews>
    <sheetView topLeftCell="E1"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45" width="33.75" style="23" customWidth="1"/>
    <col min="46" max="16384" width="4.625" style="23"/>
  </cols>
  <sheetData>
    <row r="1" spans="2:45"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5"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5"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5"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5" s="41" customFormat="1" ht="14.25" customHeight="1">
      <c r="B5" s="134"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5"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5" ht="14.25" customHeight="1">
      <c r="B7" s="645" t="s">
        <v>76</v>
      </c>
      <c r="C7" s="646"/>
      <c r="D7" s="646"/>
      <c r="E7" s="646"/>
      <c r="F7" s="647"/>
      <c r="G7" s="651" t="s">
        <v>85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914">
        <v>138</v>
      </c>
      <c r="AJ7" s="915"/>
      <c r="AK7" s="916"/>
      <c r="AL7" s="914">
        <v>136</v>
      </c>
      <c r="AM7" s="915"/>
      <c r="AN7" s="915"/>
      <c r="AO7" s="916"/>
      <c r="AP7" s="705">
        <f t="shared" ref="AP7" si="0">AL7/AI7</f>
        <v>0.98550724637681164</v>
      </c>
      <c r="AQ7" s="706"/>
      <c r="AR7" s="668">
        <f>SUM(AP7:AQ10)/4</f>
        <v>0.24637681159420291</v>
      </c>
    </row>
    <row r="8" spans="2:45"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917"/>
      <c r="AJ8" s="918"/>
      <c r="AK8" s="919"/>
      <c r="AL8" s="917"/>
      <c r="AM8" s="918"/>
      <c r="AN8" s="918"/>
      <c r="AO8" s="919"/>
      <c r="AP8" s="707"/>
      <c r="AQ8" s="708"/>
      <c r="AR8" s="668"/>
      <c r="AS8" s="23" t="s">
        <v>378</v>
      </c>
    </row>
    <row r="9" spans="2:45"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917"/>
      <c r="AJ9" s="918"/>
      <c r="AK9" s="919"/>
      <c r="AL9" s="917"/>
      <c r="AM9" s="918"/>
      <c r="AN9" s="918"/>
      <c r="AO9" s="919"/>
      <c r="AP9" s="707"/>
      <c r="AQ9" s="708"/>
      <c r="AR9" s="668"/>
      <c r="AS9" s="23" t="s">
        <v>379</v>
      </c>
    </row>
    <row r="10" spans="2:45"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920"/>
      <c r="AJ10" s="921"/>
      <c r="AK10" s="922"/>
      <c r="AL10" s="920"/>
      <c r="AM10" s="921"/>
      <c r="AN10" s="921"/>
      <c r="AO10" s="922"/>
      <c r="AP10" s="709"/>
      <c r="AQ10" s="710"/>
      <c r="AR10" s="668"/>
    </row>
    <row r="11" spans="2:45" ht="38.25" customHeight="1">
      <c r="B11" s="640" t="s">
        <v>370</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923">
        <v>106</v>
      </c>
      <c r="AJ11" s="924"/>
      <c r="AK11" s="925"/>
      <c r="AL11" s="923">
        <v>22</v>
      </c>
      <c r="AM11" s="924"/>
      <c r="AN11" s="924"/>
      <c r="AO11" s="925"/>
      <c r="AP11" s="751">
        <f>AL11/AI11</f>
        <v>0.20754716981132076</v>
      </c>
      <c r="AQ11" s="752"/>
      <c r="AR11" s="669">
        <f>SUM(AP11:AQ14)</f>
        <v>0.20754716981132076</v>
      </c>
    </row>
    <row r="12" spans="2:45"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926"/>
      <c r="AJ12" s="927"/>
      <c r="AK12" s="928"/>
      <c r="AL12" s="926"/>
      <c r="AM12" s="927"/>
      <c r="AN12" s="927"/>
      <c r="AO12" s="928"/>
      <c r="AP12" s="753"/>
      <c r="AQ12" s="754"/>
      <c r="AR12" s="669"/>
      <c r="AS12" s="23" t="s">
        <v>380</v>
      </c>
    </row>
    <row r="13" spans="2:45"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926"/>
      <c r="AJ13" s="927"/>
      <c r="AK13" s="928"/>
      <c r="AL13" s="926"/>
      <c r="AM13" s="927"/>
      <c r="AN13" s="927"/>
      <c r="AO13" s="928"/>
      <c r="AP13" s="753"/>
      <c r="AQ13" s="754"/>
      <c r="AR13" s="669"/>
      <c r="AS13" s="23" t="s">
        <v>381</v>
      </c>
    </row>
    <row r="14" spans="2:45" ht="30.75" customHeight="1">
      <c r="B14" s="632" t="s">
        <v>398</v>
      </c>
      <c r="C14" s="632"/>
      <c r="D14" s="632"/>
      <c r="E14" s="632"/>
      <c r="F14" s="632"/>
      <c r="G14" s="644" t="s">
        <v>99</v>
      </c>
      <c r="H14" s="644"/>
      <c r="I14" s="644"/>
      <c r="J14" s="644"/>
      <c r="K14" s="644">
        <v>0.5</v>
      </c>
      <c r="L14" s="644"/>
      <c r="M14" s="644"/>
      <c r="N14" s="644"/>
      <c r="O14" s="635">
        <v>0.5</v>
      </c>
      <c r="P14" s="636"/>
      <c r="Q14" s="636"/>
      <c r="R14" s="637"/>
      <c r="S14" s="591">
        <v>44561</v>
      </c>
      <c r="T14" s="592"/>
      <c r="U14" s="593"/>
      <c r="V14" s="594">
        <v>2021</v>
      </c>
      <c r="W14" s="594"/>
      <c r="X14" s="594"/>
      <c r="AB14" s="679"/>
      <c r="AC14" s="679"/>
      <c r="AD14" s="681" t="s">
        <v>134</v>
      </c>
      <c r="AE14" s="681"/>
      <c r="AF14" s="681"/>
      <c r="AG14" s="681"/>
      <c r="AH14" s="681"/>
      <c r="AI14" s="929"/>
      <c r="AJ14" s="930"/>
      <c r="AK14" s="931"/>
      <c r="AL14" s="929"/>
      <c r="AM14" s="930"/>
      <c r="AN14" s="930"/>
      <c r="AO14" s="931"/>
      <c r="AP14" s="755"/>
      <c r="AQ14" s="756"/>
      <c r="AR14" s="669"/>
    </row>
    <row r="15" spans="2:45"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914">
        <v>125</v>
      </c>
      <c r="AJ15" s="915"/>
      <c r="AK15" s="916"/>
      <c r="AL15" s="910">
        <v>20</v>
      </c>
      <c r="AM15" s="910"/>
      <c r="AN15" s="910"/>
      <c r="AO15" s="910"/>
      <c r="AP15" s="674">
        <f>+AL15/AI15</f>
        <v>0.16</v>
      </c>
      <c r="AQ15" s="674"/>
      <c r="AR15" s="668">
        <f>SUM(AP15:AQ18)/4</f>
        <v>0.16</v>
      </c>
    </row>
    <row r="16" spans="2:45"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917"/>
      <c r="AJ16" s="918"/>
      <c r="AK16" s="919"/>
      <c r="AL16" s="910">
        <v>0</v>
      </c>
      <c r="AM16" s="910"/>
      <c r="AN16" s="910"/>
      <c r="AO16" s="910"/>
      <c r="AP16" s="674">
        <f>+AL16/AI15</f>
        <v>0</v>
      </c>
      <c r="AQ16" s="674"/>
      <c r="AR16" s="668"/>
      <c r="AS16" s="23" t="s">
        <v>382</v>
      </c>
    </row>
    <row r="17" spans="2:45"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917"/>
      <c r="AJ17" s="918"/>
      <c r="AK17" s="919"/>
      <c r="AL17" s="910">
        <v>60</v>
      </c>
      <c r="AM17" s="910"/>
      <c r="AN17" s="910"/>
      <c r="AO17" s="910"/>
      <c r="AP17" s="674">
        <f>+AL17/AI15</f>
        <v>0.48</v>
      </c>
      <c r="AQ17" s="674"/>
      <c r="AR17" s="668"/>
      <c r="AS17" s="23" t="s">
        <v>383</v>
      </c>
    </row>
    <row r="18" spans="2:45" ht="28.5" customHeight="1">
      <c r="B18" s="135" t="s">
        <v>195</v>
      </c>
      <c r="C18" s="607" t="s">
        <v>112</v>
      </c>
      <c r="D18" s="608"/>
      <c r="E18" s="932">
        <v>0.5</v>
      </c>
      <c r="F18" s="932"/>
      <c r="G18" s="632" t="s">
        <v>372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920"/>
      <c r="AJ18" s="921"/>
      <c r="AK18" s="922"/>
      <c r="AL18" s="910">
        <v>0</v>
      </c>
      <c r="AM18" s="910"/>
      <c r="AN18" s="910"/>
      <c r="AO18" s="910"/>
      <c r="AP18" s="674">
        <f>+AL18/AI15</f>
        <v>0</v>
      </c>
      <c r="AQ18" s="674"/>
      <c r="AR18" s="668"/>
    </row>
    <row r="19" spans="2:45"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19"/>
      <c r="AJ19" s="819"/>
      <c r="AK19" s="819"/>
      <c r="AL19" s="819"/>
      <c r="AM19" s="819"/>
      <c r="AN19" s="819"/>
      <c r="AO19" s="819"/>
      <c r="AP19" s="671" t="e">
        <f t="shared" ref="AP19:AP22" si="1">AL19/AI19</f>
        <v>#DIV/0!</v>
      </c>
      <c r="AQ19" s="671"/>
      <c r="AR19" s="669" t="e">
        <f t="shared" ref="AR19" si="2">SUM(AP19:AQ22)/4</f>
        <v>#DIV/0!</v>
      </c>
    </row>
    <row r="20" spans="2:45" ht="45.4" customHeight="1">
      <c r="B20" s="607" t="s">
        <v>401</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19"/>
      <c r="AJ20" s="819"/>
      <c r="AK20" s="819"/>
      <c r="AL20" s="819"/>
      <c r="AM20" s="819"/>
      <c r="AN20" s="819"/>
      <c r="AO20" s="819"/>
      <c r="AP20" s="671" t="e">
        <f t="shared" si="1"/>
        <v>#DIV/0!</v>
      </c>
      <c r="AQ20" s="671"/>
      <c r="AR20" s="669"/>
    </row>
    <row r="21" spans="2:45"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19"/>
      <c r="AJ21" s="819"/>
      <c r="AK21" s="819"/>
      <c r="AL21" s="819"/>
      <c r="AM21" s="819"/>
      <c r="AN21" s="819"/>
      <c r="AO21" s="819"/>
      <c r="AP21" s="671" t="e">
        <f t="shared" si="1"/>
        <v>#DIV/0!</v>
      </c>
      <c r="AQ21" s="671"/>
      <c r="AR21" s="669"/>
    </row>
    <row r="22" spans="2:45" ht="18.95" customHeight="1">
      <c r="B22" s="633" t="s">
        <v>12</v>
      </c>
      <c r="C22" s="633"/>
      <c r="D22" s="136" t="s">
        <v>13</v>
      </c>
      <c r="E22" s="136" t="s">
        <v>14</v>
      </c>
      <c r="F22" s="136" t="s">
        <v>15</v>
      </c>
      <c r="G22" s="641" t="s">
        <v>16</v>
      </c>
      <c r="H22" s="641"/>
      <c r="I22" s="641"/>
      <c r="J22" s="136" t="s">
        <v>17</v>
      </c>
      <c r="K22" s="641" t="s">
        <v>18</v>
      </c>
      <c r="L22" s="641"/>
      <c r="M22" s="641"/>
      <c r="N22" s="136" t="s">
        <v>19</v>
      </c>
      <c r="O22" s="641" t="s">
        <v>20</v>
      </c>
      <c r="P22" s="641"/>
      <c r="Q22" s="641" t="s">
        <v>21</v>
      </c>
      <c r="R22" s="641"/>
      <c r="S22" s="641"/>
      <c r="T22" s="641" t="s">
        <v>22</v>
      </c>
      <c r="U22" s="641"/>
      <c r="V22" s="641" t="s">
        <v>23</v>
      </c>
      <c r="W22" s="641"/>
      <c r="X22" s="136" t="s">
        <v>24</v>
      </c>
      <c r="AB22" s="679"/>
      <c r="AC22" s="679"/>
      <c r="AD22" s="681" t="s">
        <v>142</v>
      </c>
      <c r="AE22" s="681"/>
      <c r="AF22" s="681"/>
      <c r="AG22" s="681"/>
      <c r="AH22" s="681"/>
      <c r="AI22" s="819"/>
      <c r="AJ22" s="819"/>
      <c r="AK22" s="819"/>
      <c r="AL22" s="819"/>
      <c r="AM22" s="819"/>
      <c r="AN22" s="819"/>
      <c r="AO22" s="819"/>
      <c r="AP22" s="671" t="e">
        <f t="shared" si="1"/>
        <v>#DIV/0!</v>
      </c>
      <c r="AQ22" s="671"/>
      <c r="AR22" s="669"/>
    </row>
    <row r="23" spans="2:45" ht="18.95" customHeight="1">
      <c r="B23" s="633" t="s">
        <v>25</v>
      </c>
      <c r="C23" s="633"/>
      <c r="D23" s="682">
        <f>AL15</f>
        <v>20</v>
      </c>
      <c r="E23" s="683"/>
      <c r="F23" s="684"/>
      <c r="G23" s="685">
        <f>AL16</f>
        <v>0</v>
      </c>
      <c r="H23" s="872"/>
      <c r="I23" s="872"/>
      <c r="J23" s="872"/>
      <c r="K23" s="872"/>
      <c r="L23" s="872"/>
      <c r="M23" s="873"/>
      <c r="N23" s="682">
        <f>AL17</f>
        <v>60</v>
      </c>
      <c r="O23" s="683"/>
      <c r="P23" s="683"/>
      <c r="Q23" s="683"/>
      <c r="R23" s="683"/>
      <c r="S23" s="684"/>
      <c r="T23" s="685">
        <f>AL18</f>
        <v>0</v>
      </c>
      <c r="U23" s="643"/>
      <c r="V23" s="643"/>
      <c r="W23" s="643"/>
      <c r="X23" s="608"/>
      <c r="Z23" s="52"/>
      <c r="AA23" s="52"/>
    </row>
    <row r="24" spans="2:45" ht="18.95" customHeight="1">
      <c r="B24" s="633" t="s">
        <v>26</v>
      </c>
      <c r="C24" s="633"/>
      <c r="D24" s="682">
        <v>125</v>
      </c>
      <c r="E24" s="715"/>
      <c r="F24" s="715"/>
      <c r="G24" s="715"/>
      <c r="H24" s="715"/>
      <c r="I24" s="715"/>
      <c r="J24" s="715"/>
      <c r="K24" s="715"/>
      <c r="L24" s="715"/>
      <c r="M24" s="715"/>
      <c r="N24" s="715"/>
      <c r="O24" s="715"/>
      <c r="P24" s="715"/>
      <c r="Q24" s="715"/>
      <c r="R24" s="715"/>
      <c r="S24" s="715"/>
      <c r="T24" s="715"/>
      <c r="U24" s="715"/>
      <c r="V24" s="715"/>
      <c r="W24" s="715"/>
      <c r="X24" s="716"/>
      <c r="Y24" s="53"/>
    </row>
    <row r="25" spans="2:45"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5" ht="25.5">
      <c r="B26" s="136" t="s">
        <v>27</v>
      </c>
      <c r="C26" s="136" t="s">
        <v>28</v>
      </c>
      <c r="D26" s="136" t="s">
        <v>29</v>
      </c>
      <c r="E26" s="136" t="s">
        <v>30</v>
      </c>
      <c r="F26" s="27"/>
      <c r="G26" s="27"/>
      <c r="H26" s="601"/>
      <c r="I26" s="601"/>
      <c r="J26" s="601"/>
      <c r="K26" s="601"/>
      <c r="L26" s="601"/>
      <c r="M26" s="601"/>
      <c r="N26" s="601"/>
      <c r="O26" s="601"/>
      <c r="P26" s="601"/>
      <c r="Q26" s="601"/>
      <c r="R26" s="601"/>
      <c r="S26" s="627"/>
      <c r="T26" s="627"/>
      <c r="U26" s="627"/>
      <c r="V26" s="627"/>
      <c r="W26" s="627"/>
      <c r="X26" s="623"/>
    </row>
    <row r="27" spans="2:45" ht="17.649999999999999" customHeight="1">
      <c r="B27" s="138" t="s">
        <v>31</v>
      </c>
      <c r="C27" s="686">
        <f>IF(ISERROR($D$23/$D$24),0,$D$23/$D$24)</f>
        <v>0.16</v>
      </c>
      <c r="D27" s="686">
        <f>$E$18</f>
        <v>0.5</v>
      </c>
      <c r="E27" s="137">
        <f>$O$14</f>
        <v>0.5</v>
      </c>
      <c r="F27" s="28"/>
      <c r="G27" s="28"/>
      <c r="H27" s="602"/>
      <c r="I27" s="602"/>
      <c r="J27" s="590"/>
      <c r="K27" s="590"/>
      <c r="L27" s="5"/>
      <c r="M27" s="5"/>
      <c r="N27" s="602"/>
      <c r="O27" s="602"/>
      <c r="P27" s="602"/>
      <c r="Q27" s="602"/>
      <c r="R27" s="602"/>
      <c r="S27" s="628"/>
      <c r="T27" s="628"/>
      <c r="U27" s="628"/>
      <c r="V27" s="628"/>
      <c r="W27" s="628"/>
      <c r="X27" s="629"/>
    </row>
    <row r="28" spans="2:45" ht="17.649999999999999" customHeight="1">
      <c r="B28" s="138" t="s">
        <v>32</v>
      </c>
      <c r="C28" s="687"/>
      <c r="D28" s="687"/>
      <c r="E28" s="137">
        <f t="shared" ref="E28:E37" si="3">$O$14</f>
        <v>0.5</v>
      </c>
      <c r="F28" s="28"/>
      <c r="G28" s="28"/>
      <c r="H28" s="590"/>
      <c r="I28" s="590"/>
      <c r="J28" s="590"/>
      <c r="K28" s="590"/>
      <c r="L28" s="6"/>
      <c r="M28" s="5"/>
      <c r="N28" s="590"/>
      <c r="O28" s="590"/>
      <c r="P28" s="590"/>
      <c r="Q28" s="590"/>
      <c r="R28" s="590"/>
      <c r="S28" s="628"/>
      <c r="T28" s="628"/>
      <c r="U28" s="628"/>
      <c r="V28" s="628"/>
      <c r="W28" s="628"/>
      <c r="X28" s="629"/>
    </row>
    <row r="29" spans="2:45" ht="17.649999999999999" customHeight="1">
      <c r="B29" s="138" t="s">
        <v>33</v>
      </c>
      <c r="C29" s="688"/>
      <c r="D29" s="688"/>
      <c r="E29" s="137">
        <f t="shared" si="3"/>
        <v>0.5</v>
      </c>
      <c r="F29" s="28"/>
      <c r="G29" s="28"/>
      <c r="H29" s="590"/>
      <c r="I29" s="590"/>
      <c r="J29" s="590"/>
      <c r="K29" s="590"/>
      <c r="L29" s="6"/>
      <c r="M29" s="5"/>
      <c r="N29" s="590"/>
      <c r="O29" s="590"/>
      <c r="P29" s="590"/>
      <c r="Q29" s="590"/>
      <c r="R29" s="590"/>
      <c r="S29" s="628"/>
      <c r="T29" s="628"/>
      <c r="U29" s="628"/>
      <c r="V29" s="628"/>
      <c r="W29" s="628"/>
      <c r="X29" s="629"/>
    </row>
    <row r="30" spans="2:45" ht="17.649999999999999" customHeight="1">
      <c r="B30" s="138" t="s">
        <v>34</v>
      </c>
      <c r="C30" s="686">
        <f>IF(ISERROR($G$23/$D$24),0,$G$23/$D$24)</f>
        <v>0</v>
      </c>
      <c r="D30" s="686">
        <f t="shared" ref="D30:D36" si="4">$E$18</f>
        <v>0.5</v>
      </c>
      <c r="E30" s="137">
        <f t="shared" si="3"/>
        <v>0.5</v>
      </c>
      <c r="F30" s="28"/>
      <c r="G30" s="28"/>
      <c r="H30" s="590"/>
      <c r="I30" s="590"/>
      <c r="J30" s="590"/>
      <c r="K30" s="590"/>
      <c r="L30" s="6"/>
      <c r="M30" s="5"/>
      <c r="N30" s="590"/>
      <c r="O30" s="590"/>
      <c r="P30" s="590"/>
      <c r="Q30" s="590"/>
      <c r="R30" s="590"/>
      <c r="S30" s="628"/>
      <c r="T30" s="628"/>
      <c r="U30" s="628"/>
      <c r="V30" s="628"/>
      <c r="W30" s="628"/>
      <c r="X30" s="629"/>
    </row>
    <row r="31" spans="2:45" ht="17.649999999999999" customHeight="1">
      <c r="B31" s="138" t="s">
        <v>35</v>
      </c>
      <c r="C31" s="687"/>
      <c r="D31" s="687"/>
      <c r="E31" s="137">
        <f t="shared" si="3"/>
        <v>0.5</v>
      </c>
      <c r="F31" s="28"/>
      <c r="G31" s="28"/>
      <c r="H31" s="590"/>
      <c r="I31" s="590"/>
      <c r="J31" s="590"/>
      <c r="K31" s="590"/>
      <c r="L31" s="6"/>
      <c r="M31" s="5"/>
      <c r="N31" s="590"/>
      <c r="O31" s="590"/>
      <c r="P31" s="590"/>
      <c r="Q31" s="590"/>
      <c r="R31" s="590"/>
      <c r="S31" s="628"/>
      <c r="T31" s="628"/>
      <c r="U31" s="628"/>
      <c r="V31" s="628"/>
      <c r="W31" s="628"/>
      <c r="X31" s="629"/>
    </row>
    <row r="32" spans="2:45" ht="17.649999999999999" customHeight="1">
      <c r="B32" s="138" t="s">
        <v>36</v>
      </c>
      <c r="C32" s="688"/>
      <c r="D32" s="688"/>
      <c r="E32" s="137">
        <f t="shared" si="3"/>
        <v>0.5</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138" t="s">
        <v>37</v>
      </c>
      <c r="C33" s="686">
        <f>IF(ISERROR($N$23/$D$24),0,$N$23/$D$24)</f>
        <v>0.48</v>
      </c>
      <c r="D33" s="686">
        <f t="shared" si="4"/>
        <v>0.5</v>
      </c>
      <c r="E33" s="137">
        <f t="shared" si="3"/>
        <v>0.5</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138" t="s">
        <v>38</v>
      </c>
      <c r="C34" s="687"/>
      <c r="D34" s="687"/>
      <c r="E34" s="137">
        <f t="shared" si="3"/>
        <v>0.5</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138" t="s">
        <v>39</v>
      </c>
      <c r="C35" s="688"/>
      <c r="D35" s="688"/>
      <c r="E35" s="137">
        <f t="shared" si="3"/>
        <v>0.5</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138" t="s">
        <v>40</v>
      </c>
      <c r="C36" s="686">
        <f>IF(ISERROR($T$23/$D$24),0,$T$23/$D$24)</f>
        <v>0</v>
      </c>
      <c r="D36" s="686">
        <f t="shared" si="4"/>
        <v>0.5</v>
      </c>
      <c r="E36" s="137">
        <f t="shared" si="3"/>
        <v>0.5</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138" t="s">
        <v>41</v>
      </c>
      <c r="C37" s="687"/>
      <c r="D37" s="687"/>
      <c r="E37" s="137">
        <f t="shared" si="3"/>
        <v>0.5</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138" t="s">
        <v>42</v>
      </c>
      <c r="C38" s="688"/>
      <c r="D38" s="688"/>
      <c r="E38" s="137">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97">
    <mergeCell ref="D24:X24"/>
    <mergeCell ref="AI15:AK18"/>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 ref="B10:X10"/>
    <mergeCell ref="AD10:AH10"/>
    <mergeCell ref="AI7:AK10"/>
    <mergeCell ref="AL7:AO10"/>
    <mergeCell ref="AP7:AQ10"/>
    <mergeCell ref="AI11:AK14"/>
    <mergeCell ref="AL11:AO14"/>
    <mergeCell ref="AP11:AQ14"/>
    <mergeCell ref="B7:F8"/>
    <mergeCell ref="G7:X8"/>
    <mergeCell ref="AB7:AC10"/>
    <mergeCell ref="AD7:AH7"/>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B11:X11"/>
    <mergeCell ref="AB11:AC14"/>
    <mergeCell ref="AD11:AH11"/>
    <mergeCell ref="B15:X15"/>
    <mergeCell ref="AB15:AC18"/>
    <mergeCell ref="AD15:AH15"/>
    <mergeCell ref="AL15:AO15"/>
    <mergeCell ref="AP15:AQ15"/>
    <mergeCell ref="M17:Q17"/>
    <mergeCell ref="R17:U17"/>
    <mergeCell ref="V17:X17"/>
    <mergeCell ref="AR15:AR18"/>
    <mergeCell ref="B16:B17"/>
    <mergeCell ref="C16:D17"/>
    <mergeCell ref="E16:F17"/>
    <mergeCell ref="G16:L17"/>
    <mergeCell ref="M16:X16"/>
    <mergeCell ref="AD16:AH16"/>
    <mergeCell ref="AL16:AO16"/>
    <mergeCell ref="AP16:AQ16"/>
    <mergeCell ref="AD17:AH17"/>
    <mergeCell ref="AL17:AO17"/>
    <mergeCell ref="AP17:AQ17"/>
    <mergeCell ref="C18:D18"/>
    <mergeCell ref="E18:F18"/>
    <mergeCell ref="G18:L18"/>
    <mergeCell ref="M18:Q18"/>
    <mergeCell ref="R18:U18"/>
    <mergeCell ref="V18:X18"/>
    <mergeCell ref="AD18:AH18"/>
    <mergeCell ref="AL18:AO18"/>
    <mergeCell ref="AP18:AQ18"/>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T22:U22"/>
    <mergeCell ref="V22:W22"/>
    <mergeCell ref="AD22:AH22"/>
    <mergeCell ref="AI22:AK22"/>
    <mergeCell ref="AL22:AO22"/>
    <mergeCell ref="AP22:AQ22"/>
    <mergeCell ref="B23:C23"/>
    <mergeCell ref="D23:F23"/>
    <mergeCell ref="G23:M23"/>
    <mergeCell ref="N23:S23"/>
    <mergeCell ref="T23:X23"/>
    <mergeCell ref="S26:X26"/>
    <mergeCell ref="C27:C29"/>
    <mergeCell ref="D27:D29"/>
    <mergeCell ref="J27:K27"/>
    <mergeCell ref="S27:X38"/>
    <mergeCell ref="H28:I28"/>
    <mergeCell ref="B24:C24"/>
    <mergeCell ref="B25:X25"/>
    <mergeCell ref="J28:K28"/>
    <mergeCell ref="N28:O28"/>
    <mergeCell ref="P28:R28"/>
    <mergeCell ref="H29:I29"/>
    <mergeCell ref="J29:K29"/>
    <mergeCell ref="N29:O29"/>
    <mergeCell ref="P29:R29"/>
    <mergeCell ref="H26:I27"/>
    <mergeCell ref="J26:M26"/>
    <mergeCell ref="N26:O27"/>
    <mergeCell ref="P26:R27"/>
    <mergeCell ref="C33:C35"/>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B41:X41"/>
    <mergeCell ref="C36:C38"/>
    <mergeCell ref="D36:D38"/>
    <mergeCell ref="H36:I36"/>
    <mergeCell ref="J36:K36"/>
    <mergeCell ref="N36:O36"/>
    <mergeCell ref="P36:R36"/>
    <mergeCell ref="H37:I37"/>
    <mergeCell ref="J37:K37"/>
    <mergeCell ref="N37:O37"/>
    <mergeCell ref="AB1:AR1"/>
    <mergeCell ref="B48:X48"/>
    <mergeCell ref="G50:H50"/>
    <mergeCell ref="I50:X50"/>
    <mergeCell ref="B42:X42"/>
    <mergeCell ref="B43:X43"/>
    <mergeCell ref="B44:X44"/>
    <mergeCell ref="G45:H45"/>
    <mergeCell ref="I45:J45"/>
    <mergeCell ref="K45:L45"/>
    <mergeCell ref="D33:D35"/>
    <mergeCell ref="H33:I33"/>
    <mergeCell ref="J33:K33"/>
    <mergeCell ref="N33:O33"/>
    <mergeCell ref="P33:R33"/>
    <mergeCell ref="B46:H46"/>
    <mergeCell ref="L46:M46"/>
    <mergeCell ref="Q46:R46"/>
    <mergeCell ref="I47:X47"/>
    <mergeCell ref="H38:I38"/>
    <mergeCell ref="J38:K38"/>
    <mergeCell ref="N38:O38"/>
    <mergeCell ref="P38:R38"/>
    <mergeCell ref="B40:X40"/>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R50"/>
  <sheetViews>
    <sheetView topLeftCell="A4"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25" style="46" customWidth="1"/>
    <col min="38" max="40" width="4.625" style="46"/>
    <col min="41" max="41" width="4.625" style="46" customWidth="1"/>
    <col min="42" max="43" width="4.625" style="46"/>
    <col min="44" max="44" width="9.1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134"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86">
        <v>0</v>
      </c>
      <c r="AJ7" s="887"/>
      <c r="AK7" s="888"/>
      <c r="AL7" s="886">
        <v>0</v>
      </c>
      <c r="AM7" s="887"/>
      <c r="AN7" s="887"/>
      <c r="AO7" s="888"/>
      <c r="AP7" s="939" t="e">
        <f>+AL7/AI7</f>
        <v>#DIV/0!</v>
      </c>
      <c r="AQ7" s="706"/>
      <c r="AR7" s="668" t="e">
        <f>+AP7</f>
        <v>#DIV/0!</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89"/>
      <c r="AJ8" s="890"/>
      <c r="AK8" s="891"/>
      <c r="AL8" s="889"/>
      <c r="AM8" s="890"/>
      <c r="AN8" s="890"/>
      <c r="AO8" s="891"/>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89"/>
      <c r="AJ9" s="890"/>
      <c r="AK9" s="891"/>
      <c r="AL9" s="889"/>
      <c r="AM9" s="890"/>
      <c r="AN9" s="890"/>
      <c r="AO9" s="891"/>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92"/>
      <c r="AJ10" s="893"/>
      <c r="AK10" s="894"/>
      <c r="AL10" s="892"/>
      <c r="AM10" s="893"/>
      <c r="AN10" s="893"/>
      <c r="AO10" s="894"/>
      <c r="AP10" s="709"/>
      <c r="AQ10" s="710"/>
      <c r="AR10" s="668"/>
    </row>
    <row r="11" spans="2:44" ht="38.25" customHeight="1">
      <c r="B11" s="640" t="s">
        <v>366</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95">
        <f>+'[4]F11  PLAN DE INVERSIÓN Y EJE...'!$J$12</f>
        <v>1451000000</v>
      </c>
      <c r="AJ11" s="896"/>
      <c r="AK11" s="897"/>
      <c r="AL11" s="895">
        <f>+'[4]F11  PLAN DE INVERSIÓN Y EJE...'!$O$12</f>
        <v>1281453812.8699999</v>
      </c>
      <c r="AM11" s="896"/>
      <c r="AN11" s="896"/>
      <c r="AO11" s="897"/>
      <c r="AP11" s="933">
        <f>AL11/AI11</f>
        <v>0.88315217978635419</v>
      </c>
      <c r="AQ11" s="934"/>
      <c r="AR11" s="669">
        <f>+AP11</f>
        <v>0.88315217978635419</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98"/>
      <c r="AJ12" s="899"/>
      <c r="AK12" s="900"/>
      <c r="AL12" s="898"/>
      <c r="AM12" s="899"/>
      <c r="AN12" s="899"/>
      <c r="AO12" s="900"/>
      <c r="AP12" s="935"/>
      <c r="AQ12" s="936"/>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98"/>
      <c r="AJ13" s="899"/>
      <c r="AK13" s="900"/>
      <c r="AL13" s="898"/>
      <c r="AM13" s="899"/>
      <c r="AN13" s="899"/>
      <c r="AO13" s="900"/>
      <c r="AP13" s="935"/>
      <c r="AQ13" s="936"/>
      <c r="AR13" s="669"/>
    </row>
    <row r="14" spans="2:44" ht="29.25" customHeight="1">
      <c r="B14" s="632" t="s">
        <v>376</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901"/>
      <c r="AJ14" s="902"/>
      <c r="AK14" s="903"/>
      <c r="AL14" s="901"/>
      <c r="AM14" s="902"/>
      <c r="AN14" s="902"/>
      <c r="AO14" s="903"/>
      <c r="AP14" s="937"/>
      <c r="AQ14" s="938"/>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82">
        <f>+'[5]Plan Adqu ICFE 2021 Total'!$X$279+'[5]Plan Adqu ICFE 2021 Total'!$W$279</f>
        <v>13112000</v>
      </c>
      <c r="AJ15" s="882"/>
      <c r="AK15" s="882"/>
      <c r="AL15" s="882">
        <f>4300000*3</f>
        <v>12900000</v>
      </c>
      <c r="AM15" s="882"/>
      <c r="AN15" s="882"/>
      <c r="AO15" s="882"/>
      <c r="AP15" s="674">
        <f t="shared" ref="AP15:AP22" si="0">AL15/AI15</f>
        <v>0.98383160463697372</v>
      </c>
      <c r="AQ15" s="674"/>
      <c r="AR15" s="668">
        <f>SUM(AP15:AQ18)/4</f>
        <v>0.37160072490865903</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82">
        <f>+'[5]Plan Adqu ICFE 2021 Total'!$AA$279+'[5]Plan Adqu ICFE 2021 Total'!$Z$279+'[5]Plan Adqu ICFE 2021 Total'!$Y$279</f>
        <v>25668000</v>
      </c>
      <c r="AJ16" s="882"/>
      <c r="AK16" s="882"/>
      <c r="AL16" s="882">
        <f>4300000*3</f>
        <v>12900000</v>
      </c>
      <c r="AM16" s="882"/>
      <c r="AN16" s="882"/>
      <c r="AO16" s="882"/>
      <c r="AP16" s="674">
        <f>+AL16/AI16</f>
        <v>0.50257129499766251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82">
        <f>+'[5]Plan Adqu ICFE 2021 Total'!$AB$279+'[5]Plan Adqu ICFE 2021 Total'!$AC$279+'[5]Plan Adqu ICFE 2021 Total'!$AD$279</f>
        <v>2365068000</v>
      </c>
      <c r="AJ17" s="882"/>
      <c r="AK17" s="882"/>
      <c r="AL17" s="882">
        <f>4300000*3</f>
        <v>12900000</v>
      </c>
      <c r="AM17" s="882"/>
      <c r="AN17" s="882"/>
      <c r="AO17" s="882"/>
      <c r="AP17" s="674">
        <v>0</v>
      </c>
      <c r="AQ17" s="674"/>
      <c r="AR17" s="668"/>
    </row>
    <row r="18" spans="2:44" ht="28.5" customHeight="1">
      <c r="B18" s="159" t="s">
        <v>195</v>
      </c>
      <c r="C18" s="607" t="s">
        <v>112</v>
      </c>
      <c r="D18" s="608"/>
      <c r="E18" s="644">
        <v>1</v>
      </c>
      <c r="F18" s="644"/>
      <c r="G18" s="632" t="s">
        <v>372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82">
        <f>+'[5]Plan Adqu ICFE 2021 Total'!$AE$279+'[5]Plan Adqu ICFE 2021 Total'!$AF$279+'[5]Plan Adqu ICFE 2021 Total'!$AG$279</f>
        <v>5757152000</v>
      </c>
      <c r="AJ18" s="882"/>
      <c r="AK18" s="882"/>
      <c r="AL18" s="883">
        <v>4306823346.1099997</v>
      </c>
      <c r="AM18" s="884"/>
      <c r="AN18" s="884"/>
      <c r="AO18" s="885"/>
      <c r="AP18" s="674">
        <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81"/>
      <c r="AJ19" s="881"/>
      <c r="AK19" s="881"/>
      <c r="AL19" s="881"/>
      <c r="AM19" s="881"/>
      <c r="AN19" s="881"/>
      <c r="AO19" s="881"/>
      <c r="AP19" s="671" t="e">
        <f t="shared" si="0"/>
        <v>#DIV/0!</v>
      </c>
      <c r="AQ19" s="671"/>
      <c r="AR19" s="669" t="e">
        <f t="shared" ref="AR19" si="1">SUM(AP19:AQ22)/4</f>
        <v>#DIV/0!</v>
      </c>
    </row>
    <row r="20" spans="2:44" ht="45.4" customHeight="1">
      <c r="B20" s="607" t="s">
        <v>397</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81"/>
      <c r="AJ20" s="881"/>
      <c r="AK20" s="881"/>
      <c r="AL20" s="881"/>
      <c r="AM20" s="881"/>
      <c r="AN20" s="881"/>
      <c r="AO20" s="881"/>
      <c r="AP20" s="671" t="e">
        <f t="shared" si="0"/>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81"/>
      <c r="AJ21" s="881"/>
      <c r="AK21" s="881"/>
      <c r="AL21" s="881"/>
      <c r="AM21" s="881"/>
      <c r="AN21" s="881"/>
      <c r="AO21" s="881"/>
      <c r="AP21" s="671" t="e">
        <f t="shared" si="0"/>
        <v>#DIV/0!</v>
      </c>
      <c r="AQ21" s="671"/>
      <c r="AR21" s="669"/>
    </row>
    <row r="22" spans="2:44" ht="18.95" customHeight="1">
      <c r="B22" s="633" t="s">
        <v>12</v>
      </c>
      <c r="C22" s="633"/>
      <c r="D22" s="136" t="s">
        <v>13</v>
      </c>
      <c r="E22" s="136" t="s">
        <v>14</v>
      </c>
      <c r="F22" s="136" t="s">
        <v>15</v>
      </c>
      <c r="G22" s="641" t="s">
        <v>16</v>
      </c>
      <c r="H22" s="641"/>
      <c r="I22" s="641"/>
      <c r="J22" s="136" t="s">
        <v>17</v>
      </c>
      <c r="K22" s="641" t="s">
        <v>18</v>
      </c>
      <c r="L22" s="641"/>
      <c r="M22" s="641"/>
      <c r="N22" s="136" t="s">
        <v>19</v>
      </c>
      <c r="O22" s="641" t="s">
        <v>20</v>
      </c>
      <c r="P22" s="641"/>
      <c r="Q22" s="641" t="s">
        <v>21</v>
      </c>
      <c r="R22" s="641"/>
      <c r="S22" s="641"/>
      <c r="T22" s="641" t="s">
        <v>22</v>
      </c>
      <c r="U22" s="641"/>
      <c r="V22" s="641" t="s">
        <v>23</v>
      </c>
      <c r="W22" s="641"/>
      <c r="X22" s="136" t="s">
        <v>24</v>
      </c>
      <c r="AB22" s="679"/>
      <c r="AC22" s="679"/>
      <c r="AD22" s="681" t="s">
        <v>142</v>
      </c>
      <c r="AE22" s="681"/>
      <c r="AF22" s="681"/>
      <c r="AG22" s="681"/>
      <c r="AH22" s="681"/>
      <c r="AI22" s="881"/>
      <c r="AJ22" s="881"/>
      <c r="AK22" s="881"/>
      <c r="AL22" s="881"/>
      <c r="AM22" s="881"/>
      <c r="AN22" s="881"/>
      <c r="AO22" s="881"/>
      <c r="AP22" s="671" t="e">
        <f t="shared" si="0"/>
        <v>#DIV/0!</v>
      </c>
      <c r="AQ22" s="671"/>
      <c r="AR22" s="669"/>
    </row>
    <row r="23" spans="2:44" ht="18.95" customHeight="1">
      <c r="B23" s="633" t="s">
        <v>25</v>
      </c>
      <c r="C23" s="633"/>
      <c r="D23" s="875">
        <f>AL15</f>
        <v>12900000</v>
      </c>
      <c r="E23" s="876"/>
      <c r="F23" s="877"/>
      <c r="G23" s="878">
        <f>AL16</f>
        <v>12900000</v>
      </c>
      <c r="H23" s="879"/>
      <c r="I23" s="879"/>
      <c r="J23" s="879"/>
      <c r="K23" s="879"/>
      <c r="L23" s="879"/>
      <c r="M23" s="880"/>
      <c r="N23" s="875">
        <f>AL17</f>
        <v>12900000</v>
      </c>
      <c r="O23" s="876"/>
      <c r="P23" s="876"/>
      <c r="Q23" s="876"/>
      <c r="R23" s="876"/>
      <c r="S23" s="877"/>
      <c r="T23" s="878">
        <f>AL18</f>
        <v>4306823346.1099997</v>
      </c>
      <c r="U23" s="879"/>
      <c r="V23" s="879"/>
      <c r="W23" s="879"/>
      <c r="X23" s="880"/>
      <c r="Z23" s="52"/>
      <c r="AA23" s="52"/>
    </row>
    <row r="24" spans="2:44" ht="18.95" customHeight="1">
      <c r="B24" s="633" t="s">
        <v>26</v>
      </c>
      <c r="C24" s="633"/>
      <c r="D24" s="875">
        <f>AI15</f>
        <v>13112000</v>
      </c>
      <c r="E24" s="876"/>
      <c r="F24" s="877"/>
      <c r="G24" s="878">
        <f>AI16</f>
        <v>25668000</v>
      </c>
      <c r="H24" s="879"/>
      <c r="I24" s="879"/>
      <c r="J24" s="879"/>
      <c r="K24" s="879"/>
      <c r="L24" s="879"/>
      <c r="M24" s="880"/>
      <c r="N24" s="875">
        <f>AI17</f>
        <v>2365068000</v>
      </c>
      <c r="O24" s="876"/>
      <c r="P24" s="876"/>
      <c r="Q24" s="876"/>
      <c r="R24" s="876"/>
      <c r="S24" s="877"/>
      <c r="T24" s="878">
        <f>AI18</f>
        <v>5757152000</v>
      </c>
      <c r="U24" s="879"/>
      <c r="V24" s="879"/>
      <c r="W24" s="879"/>
      <c r="X24" s="880"/>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136" t="s">
        <v>27</v>
      </c>
      <c r="C26" s="136" t="s">
        <v>28</v>
      </c>
      <c r="D26" s="136" t="s">
        <v>29</v>
      </c>
      <c r="E26" s="136"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138" t="s">
        <v>31</v>
      </c>
      <c r="C27" s="686">
        <f>IF(ISERROR($D$23/$D$24),0,$D$23/$D$24)</f>
        <v>0.98383160463697372</v>
      </c>
      <c r="D27" s="686">
        <f>$E$18</f>
        <v>1</v>
      </c>
      <c r="E27" s="137">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138" t="s">
        <v>32</v>
      </c>
      <c r="C28" s="687"/>
      <c r="D28" s="687"/>
      <c r="E28" s="137">
        <f t="shared" ref="E28:E37" si="2">$O$14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138" t="s">
        <v>33</v>
      </c>
      <c r="C29" s="688"/>
      <c r="D29" s="688"/>
      <c r="E29" s="137">
        <f t="shared" si="2"/>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138" t="s">
        <v>34</v>
      </c>
      <c r="C30" s="686">
        <f>IF(ISERROR($G$23/$G$24),0,$G$23/$G$24)</f>
        <v>0.50257129499766251</v>
      </c>
      <c r="D30" s="686">
        <f t="shared" ref="D30:D36" si="3">$E$18</f>
        <v>1</v>
      </c>
      <c r="E30" s="137">
        <f t="shared" si="2"/>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138" t="s">
        <v>35</v>
      </c>
      <c r="C31" s="687"/>
      <c r="D31" s="687"/>
      <c r="E31" s="137">
        <f t="shared" si="2"/>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138" t="s">
        <v>36</v>
      </c>
      <c r="C32" s="688"/>
      <c r="D32" s="688"/>
      <c r="E32" s="137">
        <f t="shared" si="2"/>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138" t="s">
        <v>37</v>
      </c>
      <c r="C33" s="686">
        <f>IF(ISERROR($N$23/$N$24),0,$N$23/$N$24)</f>
        <v>5.4543886264580973E-3</v>
      </c>
      <c r="D33" s="686">
        <f t="shared" si="3"/>
        <v>1</v>
      </c>
      <c r="E33" s="137">
        <f t="shared" si="2"/>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138" t="s">
        <v>38</v>
      </c>
      <c r="C34" s="687"/>
      <c r="D34" s="687"/>
      <c r="E34" s="137">
        <f t="shared" si="2"/>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138" t="s">
        <v>39</v>
      </c>
      <c r="C35" s="688"/>
      <c r="D35" s="688"/>
      <c r="E35" s="137">
        <f t="shared" si="2"/>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138" t="s">
        <v>40</v>
      </c>
      <c r="C36" s="686">
        <f>IF(ISERROR($T$23/$T$24),0,$T$23/$T$24)</f>
        <v>0.7480822716006108</v>
      </c>
      <c r="D36" s="686">
        <f t="shared" si="3"/>
        <v>1</v>
      </c>
      <c r="E36" s="137">
        <f t="shared" si="2"/>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138" t="s">
        <v>41</v>
      </c>
      <c r="C37" s="687"/>
      <c r="D37" s="687"/>
      <c r="E37" s="137">
        <f t="shared" si="2"/>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138" t="s">
        <v>42</v>
      </c>
      <c r="C38" s="688"/>
      <c r="D38" s="688"/>
      <c r="E38" s="137">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03">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 ref="AB1:AR1"/>
    <mergeCell ref="AD8:AH8"/>
    <mergeCell ref="B9:X9"/>
    <mergeCell ref="AD9:AH9"/>
    <mergeCell ref="AI7:AK10"/>
    <mergeCell ref="AL7:AO10"/>
    <mergeCell ref="AP7:AQ10"/>
    <mergeCell ref="B7:F8"/>
    <mergeCell ref="G7:X8"/>
    <mergeCell ref="AB7:AC10"/>
    <mergeCell ref="AD7:AH7"/>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AR7:AR10"/>
    <mergeCell ref="B10:X10"/>
    <mergeCell ref="AD10:AH10"/>
    <mergeCell ref="B11:X11"/>
    <mergeCell ref="AB11:AC14"/>
    <mergeCell ref="AD11:AH11"/>
    <mergeCell ref="B15:X15"/>
    <mergeCell ref="AB15:AC18"/>
    <mergeCell ref="AD15:AH15"/>
    <mergeCell ref="AI15:AK15"/>
    <mergeCell ref="AL15:AO15"/>
    <mergeCell ref="AP15:AQ15"/>
    <mergeCell ref="M17:Q17"/>
    <mergeCell ref="R17:U17"/>
    <mergeCell ref="V17:X17"/>
    <mergeCell ref="AI11:AK14"/>
    <mergeCell ref="AL11:AO14"/>
    <mergeCell ref="AP11:AQ14"/>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T24:X24"/>
    <mergeCell ref="B25:X25"/>
    <mergeCell ref="J28:K28"/>
    <mergeCell ref="N28:O28"/>
    <mergeCell ref="P28:R28"/>
    <mergeCell ref="H29:I29"/>
    <mergeCell ref="J29:K29"/>
    <mergeCell ref="N29:O29"/>
    <mergeCell ref="P29:R29"/>
    <mergeCell ref="H26:I27"/>
    <mergeCell ref="J26:M26"/>
    <mergeCell ref="N26:O27"/>
    <mergeCell ref="P26:R27"/>
    <mergeCell ref="H34:I34"/>
    <mergeCell ref="J34:K34"/>
    <mergeCell ref="N34:O34"/>
    <mergeCell ref="P34:R34"/>
    <mergeCell ref="H35:I35"/>
    <mergeCell ref="J35:K35"/>
    <mergeCell ref="N35:O35"/>
    <mergeCell ref="P35:R35"/>
    <mergeCell ref="H32:I32"/>
    <mergeCell ref="H33:I33"/>
    <mergeCell ref="J33:K33"/>
    <mergeCell ref="N33:O33"/>
    <mergeCell ref="P33:R33"/>
    <mergeCell ref="C30:C32"/>
    <mergeCell ref="D30:D32"/>
    <mergeCell ref="H30:I30"/>
    <mergeCell ref="J30:K30"/>
    <mergeCell ref="N30:O30"/>
    <mergeCell ref="P30:R30"/>
    <mergeCell ref="H31:I31"/>
    <mergeCell ref="J31:K31"/>
    <mergeCell ref="N31:O31"/>
    <mergeCell ref="P31:R31"/>
    <mergeCell ref="J32:K32"/>
    <mergeCell ref="N32:O32"/>
    <mergeCell ref="P32:R32"/>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B48:X48"/>
    <mergeCell ref="G50:H50"/>
    <mergeCell ref="I50:X50"/>
    <mergeCell ref="B42:X42"/>
    <mergeCell ref="B43:X43"/>
    <mergeCell ref="B44:X44"/>
    <mergeCell ref="G45:H45"/>
    <mergeCell ref="I45:J45"/>
    <mergeCell ref="K45:L45"/>
    <mergeCell ref="B46:H46"/>
    <mergeCell ref="L46:M46"/>
    <mergeCell ref="Q46:R46"/>
    <mergeCell ref="I47:X47"/>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R50"/>
  <sheetViews>
    <sheetView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134"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914">
        <v>0</v>
      </c>
      <c r="AJ7" s="915"/>
      <c r="AK7" s="916"/>
      <c r="AL7" s="914">
        <v>0</v>
      </c>
      <c r="AM7" s="915"/>
      <c r="AN7" s="915"/>
      <c r="AO7" s="916"/>
      <c r="AP7" s="705" t="e">
        <f>+AL7/AI7</f>
        <v>#DIV/0!</v>
      </c>
      <c r="AQ7" s="706"/>
      <c r="AR7" s="668" t="e">
        <f>SUM(AP7:AQ10)</f>
        <v>#DIV/0!</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917"/>
      <c r="AJ8" s="918"/>
      <c r="AK8" s="919"/>
      <c r="AL8" s="917"/>
      <c r="AM8" s="918"/>
      <c r="AN8" s="918"/>
      <c r="AO8" s="919"/>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917"/>
      <c r="AJ9" s="918"/>
      <c r="AK9" s="919"/>
      <c r="AL9" s="917"/>
      <c r="AM9" s="918"/>
      <c r="AN9" s="918"/>
      <c r="AO9" s="919"/>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920"/>
      <c r="AJ10" s="921"/>
      <c r="AK10" s="922"/>
      <c r="AL10" s="920"/>
      <c r="AM10" s="921"/>
      <c r="AN10" s="921"/>
      <c r="AO10" s="922"/>
      <c r="AP10" s="709"/>
      <c r="AQ10" s="710"/>
      <c r="AR10" s="668"/>
    </row>
    <row r="11" spans="2:44" ht="38.25" customHeight="1">
      <c r="B11" s="640" t="s">
        <v>369</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923">
        <v>3</v>
      </c>
      <c r="AJ11" s="924"/>
      <c r="AK11" s="925"/>
      <c r="AL11" s="923">
        <v>3</v>
      </c>
      <c r="AM11" s="924"/>
      <c r="AN11" s="924"/>
      <c r="AO11" s="925"/>
      <c r="AP11" s="751">
        <f>AL11/AI11</f>
        <v>1</v>
      </c>
      <c r="AQ11" s="752"/>
      <c r="AR11" s="669">
        <f>SUM(AP11:AQ14)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926"/>
      <c r="AJ12" s="927"/>
      <c r="AK12" s="928"/>
      <c r="AL12" s="926"/>
      <c r="AM12" s="927"/>
      <c r="AN12" s="927"/>
      <c r="AO12" s="928"/>
      <c r="AP12" s="753"/>
      <c r="AQ12" s="754"/>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926"/>
      <c r="AJ13" s="927"/>
      <c r="AK13" s="928"/>
      <c r="AL13" s="926"/>
      <c r="AM13" s="927"/>
      <c r="AN13" s="927"/>
      <c r="AO13" s="928"/>
      <c r="AP13" s="753"/>
      <c r="AQ13" s="754"/>
      <c r="AR13" s="669"/>
    </row>
    <row r="14" spans="2:44" ht="29.25" customHeight="1">
      <c r="B14" s="632" t="s">
        <v>402</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929"/>
      <c r="AJ14" s="930"/>
      <c r="AK14" s="931"/>
      <c r="AL14" s="929"/>
      <c r="AM14" s="930"/>
      <c r="AN14" s="930"/>
      <c r="AO14" s="931"/>
      <c r="AP14" s="755"/>
      <c r="AQ14" s="756"/>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910">
        <v>3</v>
      </c>
      <c r="AJ15" s="910"/>
      <c r="AK15" s="910"/>
      <c r="AL15" s="910">
        <v>3</v>
      </c>
      <c r="AM15" s="910"/>
      <c r="AN15" s="910"/>
      <c r="AO15" s="910"/>
      <c r="AP15" s="674">
        <f t="shared" ref="AP15:AP22" si="0">AL15/AI15</f>
        <v>1</v>
      </c>
      <c r="AQ15" s="674"/>
      <c r="AR15" s="668">
        <f t="shared" ref="AR15" si="1">SUM(AP15:AQ18)/4</f>
        <v>0.625</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910">
        <v>2</v>
      </c>
      <c r="AJ16" s="910"/>
      <c r="AK16" s="910"/>
      <c r="AL16" s="910">
        <v>2</v>
      </c>
      <c r="AM16" s="910"/>
      <c r="AN16" s="910"/>
      <c r="AO16" s="910"/>
      <c r="AP16" s="674">
        <f t="shared" si="0"/>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910">
        <v>0</v>
      </c>
      <c r="AJ17" s="910"/>
      <c r="AK17" s="910"/>
      <c r="AL17" s="910">
        <v>0</v>
      </c>
      <c r="AM17" s="910"/>
      <c r="AN17" s="910"/>
      <c r="AO17" s="910"/>
      <c r="AP17" s="674">
        <v>0</v>
      </c>
      <c r="AQ17" s="674"/>
      <c r="AR17" s="668"/>
    </row>
    <row r="18" spans="2:44" ht="28.5" customHeight="1">
      <c r="B18" s="135" t="s">
        <v>195</v>
      </c>
      <c r="C18" s="607" t="s">
        <v>112</v>
      </c>
      <c r="D18" s="608"/>
      <c r="E18" s="644">
        <v>1</v>
      </c>
      <c r="F18" s="644"/>
      <c r="G18" s="632" t="s">
        <v>372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910">
        <v>2</v>
      </c>
      <c r="AJ18" s="910"/>
      <c r="AK18" s="910"/>
      <c r="AL18" s="910">
        <v>1</v>
      </c>
      <c r="AM18" s="910"/>
      <c r="AN18" s="910"/>
      <c r="AO18" s="910"/>
      <c r="AP18" s="674">
        <f t="shared" si="0"/>
        <v>0.5</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19"/>
      <c r="AJ19" s="819"/>
      <c r="AK19" s="819"/>
      <c r="AL19" s="819"/>
      <c r="AM19" s="819"/>
      <c r="AN19" s="819"/>
      <c r="AO19" s="819"/>
      <c r="AP19" s="671" t="e">
        <f t="shared" si="0"/>
        <v>#DIV/0!</v>
      </c>
      <c r="AQ19" s="671"/>
      <c r="AR19" s="669" t="e">
        <f t="shared" ref="AR19" si="2">SUM(AP19:AQ22)/4</f>
        <v>#DIV/0!</v>
      </c>
    </row>
    <row r="20" spans="2:44" ht="45.4" customHeight="1">
      <c r="B20" s="607" t="s">
        <v>401</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19"/>
      <c r="AJ20" s="819"/>
      <c r="AK20" s="819"/>
      <c r="AL20" s="819"/>
      <c r="AM20" s="819"/>
      <c r="AN20" s="819"/>
      <c r="AO20" s="819"/>
      <c r="AP20" s="671" t="e">
        <f t="shared" si="0"/>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19"/>
      <c r="AJ21" s="819"/>
      <c r="AK21" s="819"/>
      <c r="AL21" s="819"/>
      <c r="AM21" s="819"/>
      <c r="AN21" s="819"/>
      <c r="AO21" s="819"/>
      <c r="AP21" s="671" t="e">
        <f t="shared" si="0"/>
        <v>#DIV/0!</v>
      </c>
      <c r="AQ21" s="671"/>
      <c r="AR21" s="669"/>
    </row>
    <row r="22" spans="2:44" ht="18.95" customHeight="1">
      <c r="B22" s="633" t="s">
        <v>12</v>
      </c>
      <c r="C22" s="633"/>
      <c r="D22" s="136" t="s">
        <v>13</v>
      </c>
      <c r="E22" s="136" t="s">
        <v>14</v>
      </c>
      <c r="F22" s="136" t="s">
        <v>15</v>
      </c>
      <c r="G22" s="641" t="s">
        <v>16</v>
      </c>
      <c r="H22" s="641"/>
      <c r="I22" s="641"/>
      <c r="J22" s="136" t="s">
        <v>17</v>
      </c>
      <c r="K22" s="641" t="s">
        <v>18</v>
      </c>
      <c r="L22" s="641"/>
      <c r="M22" s="641"/>
      <c r="N22" s="136" t="s">
        <v>19</v>
      </c>
      <c r="O22" s="641" t="s">
        <v>20</v>
      </c>
      <c r="P22" s="641"/>
      <c r="Q22" s="641" t="s">
        <v>21</v>
      </c>
      <c r="R22" s="641"/>
      <c r="S22" s="641"/>
      <c r="T22" s="641" t="s">
        <v>22</v>
      </c>
      <c r="U22" s="641"/>
      <c r="V22" s="641" t="s">
        <v>23</v>
      </c>
      <c r="W22" s="641"/>
      <c r="X22" s="136" t="s">
        <v>24</v>
      </c>
      <c r="AB22" s="679"/>
      <c r="AC22" s="679"/>
      <c r="AD22" s="681" t="s">
        <v>142</v>
      </c>
      <c r="AE22" s="681"/>
      <c r="AF22" s="681"/>
      <c r="AG22" s="681"/>
      <c r="AH22" s="681"/>
      <c r="AI22" s="819"/>
      <c r="AJ22" s="819"/>
      <c r="AK22" s="819"/>
      <c r="AL22" s="819"/>
      <c r="AM22" s="819"/>
      <c r="AN22" s="819"/>
      <c r="AO22" s="819"/>
      <c r="AP22" s="671" t="e">
        <f t="shared" si="0"/>
        <v>#DIV/0!</v>
      </c>
      <c r="AQ22" s="671"/>
      <c r="AR22" s="669"/>
    </row>
    <row r="23" spans="2:44" ht="18.95" customHeight="1">
      <c r="B23" s="633" t="s">
        <v>25</v>
      </c>
      <c r="C23" s="633"/>
      <c r="D23" s="682">
        <f>AL15</f>
        <v>3</v>
      </c>
      <c r="E23" s="683"/>
      <c r="F23" s="684"/>
      <c r="G23" s="685">
        <f>AL16</f>
        <v>2</v>
      </c>
      <c r="H23" s="872"/>
      <c r="I23" s="872"/>
      <c r="J23" s="872"/>
      <c r="K23" s="872"/>
      <c r="L23" s="872"/>
      <c r="M23" s="873"/>
      <c r="N23" s="682">
        <f>AL17</f>
        <v>0</v>
      </c>
      <c r="O23" s="683"/>
      <c r="P23" s="683"/>
      <c r="Q23" s="683"/>
      <c r="R23" s="683"/>
      <c r="S23" s="684"/>
      <c r="T23" s="685">
        <f>AL18</f>
        <v>1</v>
      </c>
      <c r="U23" s="643"/>
      <c r="V23" s="643"/>
      <c r="W23" s="643"/>
      <c r="X23" s="608"/>
      <c r="Z23" s="52"/>
      <c r="AA23" s="52"/>
    </row>
    <row r="24" spans="2:44" ht="18.95" customHeight="1">
      <c r="B24" s="633" t="s">
        <v>26</v>
      </c>
      <c r="C24" s="633"/>
      <c r="D24" s="682">
        <f>AI15</f>
        <v>3</v>
      </c>
      <c r="E24" s="683"/>
      <c r="F24" s="684"/>
      <c r="G24" s="685">
        <f>AI16</f>
        <v>2</v>
      </c>
      <c r="H24" s="643"/>
      <c r="I24" s="643"/>
      <c r="J24" s="643"/>
      <c r="K24" s="643"/>
      <c r="L24" s="643"/>
      <c r="M24" s="608"/>
      <c r="N24" s="682">
        <f>AI17</f>
        <v>0</v>
      </c>
      <c r="O24" s="683"/>
      <c r="P24" s="683"/>
      <c r="Q24" s="683"/>
      <c r="R24" s="683"/>
      <c r="S24" s="684"/>
      <c r="T24" s="685">
        <f>AI18</f>
        <v>2</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136" t="s">
        <v>27</v>
      </c>
      <c r="C26" s="136" t="s">
        <v>28</v>
      </c>
      <c r="D26" s="136" t="s">
        <v>29</v>
      </c>
      <c r="E26" s="136"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138" t="s">
        <v>31</v>
      </c>
      <c r="C27" s="686">
        <f>IF(ISERROR($D$23/$D$24),0,$D$23/$D$24)</f>
        <v>1</v>
      </c>
      <c r="D27" s="686">
        <f>$E$18</f>
        <v>1</v>
      </c>
      <c r="E27" s="137">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138" t="s">
        <v>32</v>
      </c>
      <c r="C28" s="687"/>
      <c r="D28" s="687"/>
      <c r="E28" s="137">
        <f t="shared" ref="E28:E37"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138" t="s">
        <v>33</v>
      </c>
      <c r="C29" s="688"/>
      <c r="D29" s="688"/>
      <c r="E29" s="137">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138" t="s">
        <v>34</v>
      </c>
      <c r="C30" s="686">
        <f>IF(ISERROR($G$23/$G$24),0,$G$23/$G$24)</f>
        <v>1</v>
      </c>
      <c r="D30" s="686">
        <f t="shared" ref="D30:D36" si="4">$E$18</f>
        <v>1</v>
      </c>
      <c r="E30" s="137">
        <f t="shared" si="3"/>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138" t="s">
        <v>35</v>
      </c>
      <c r="C31" s="687"/>
      <c r="D31" s="687"/>
      <c r="E31" s="137">
        <f t="shared" si="3"/>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138" t="s">
        <v>36</v>
      </c>
      <c r="C32" s="688"/>
      <c r="D32" s="688"/>
      <c r="E32" s="137">
        <f t="shared" si="3"/>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138" t="s">
        <v>37</v>
      </c>
      <c r="C33" s="686">
        <f>IF(ISERROR($N$23/$N$24),0,$N$23/$N$24)</f>
        <v>0</v>
      </c>
      <c r="D33" s="686">
        <f t="shared" si="4"/>
        <v>1</v>
      </c>
      <c r="E33" s="137">
        <f t="shared" si="3"/>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138" t="s">
        <v>38</v>
      </c>
      <c r="C34" s="687"/>
      <c r="D34" s="687"/>
      <c r="E34" s="137">
        <f t="shared" si="3"/>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138" t="s">
        <v>39</v>
      </c>
      <c r="C35" s="688"/>
      <c r="D35" s="688"/>
      <c r="E35" s="137">
        <f t="shared" si="3"/>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138" t="s">
        <v>40</v>
      </c>
      <c r="C36" s="686">
        <f>IF(ISERROR($T$23/$T$24),0,$T$23/$T$24)</f>
        <v>0.5</v>
      </c>
      <c r="D36" s="686">
        <f t="shared" si="4"/>
        <v>1</v>
      </c>
      <c r="E36" s="137">
        <f t="shared" si="3"/>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138" t="s">
        <v>41</v>
      </c>
      <c r="C37" s="687"/>
      <c r="D37" s="687"/>
      <c r="E37" s="137">
        <f t="shared" si="3"/>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138" t="s">
        <v>42</v>
      </c>
      <c r="C38" s="688"/>
      <c r="D38" s="688"/>
      <c r="E38" s="137">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03">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 ref="AB1:AR1"/>
    <mergeCell ref="AD8:AH8"/>
    <mergeCell ref="B9:X9"/>
    <mergeCell ref="AD9:AH9"/>
    <mergeCell ref="AI7:AK10"/>
    <mergeCell ref="AL7:AO10"/>
    <mergeCell ref="AP7:AQ10"/>
    <mergeCell ref="B7:F8"/>
    <mergeCell ref="G7:X8"/>
    <mergeCell ref="AB7:AC10"/>
    <mergeCell ref="AD7:AH7"/>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AR7:AR10"/>
    <mergeCell ref="B10:X10"/>
    <mergeCell ref="AD10:AH10"/>
    <mergeCell ref="B11:X11"/>
    <mergeCell ref="AB11:AC14"/>
    <mergeCell ref="AD11:AH11"/>
    <mergeCell ref="B15:X15"/>
    <mergeCell ref="AB15:AC18"/>
    <mergeCell ref="AD15:AH15"/>
    <mergeCell ref="AL15:AO15"/>
    <mergeCell ref="AP15:AQ15"/>
    <mergeCell ref="R17:U17"/>
    <mergeCell ref="V17:X17"/>
    <mergeCell ref="AD17:AH17"/>
    <mergeCell ref="AI18:AK18"/>
    <mergeCell ref="AI11:AK14"/>
    <mergeCell ref="AL11:AO14"/>
    <mergeCell ref="AP11:AQ14"/>
    <mergeCell ref="AR15:AR18"/>
    <mergeCell ref="B16:B17"/>
    <mergeCell ref="C16:D17"/>
    <mergeCell ref="E16:F17"/>
    <mergeCell ref="G16:L17"/>
    <mergeCell ref="M16:X16"/>
    <mergeCell ref="AD16:AH16"/>
    <mergeCell ref="AL16:AO16"/>
    <mergeCell ref="AP16:AQ16"/>
    <mergeCell ref="M17:Q17"/>
    <mergeCell ref="AL17:AO17"/>
    <mergeCell ref="AP17:AQ17"/>
    <mergeCell ref="C18:D18"/>
    <mergeCell ref="E18:F18"/>
    <mergeCell ref="G18:L18"/>
    <mergeCell ref="M18:Q18"/>
    <mergeCell ref="R18:U18"/>
    <mergeCell ref="V18:X18"/>
    <mergeCell ref="AD18:AH18"/>
    <mergeCell ref="AL18:AO18"/>
    <mergeCell ref="AP18:AQ18"/>
    <mergeCell ref="AI15:AK15"/>
    <mergeCell ref="AI16:AK16"/>
    <mergeCell ref="AI17:AK17"/>
    <mergeCell ref="AR19:AR22"/>
    <mergeCell ref="B20:L20"/>
    <mergeCell ref="M20:X20"/>
    <mergeCell ref="AD20:AH20"/>
    <mergeCell ref="AI20:AK20"/>
    <mergeCell ref="AL20:AO20"/>
    <mergeCell ref="AP20:AQ20"/>
    <mergeCell ref="B21:X21"/>
    <mergeCell ref="AD21:AH21"/>
    <mergeCell ref="AI21:AK21"/>
    <mergeCell ref="V22:W22"/>
    <mergeCell ref="AD22:AH22"/>
    <mergeCell ref="AI22:AK22"/>
    <mergeCell ref="AL22:AO22"/>
    <mergeCell ref="AP22:AQ22"/>
    <mergeCell ref="B19:L19"/>
    <mergeCell ref="M19:X19"/>
    <mergeCell ref="AB19:AC22"/>
    <mergeCell ref="AD19:AH19"/>
    <mergeCell ref="AI19:AK19"/>
    <mergeCell ref="AL19:AO19"/>
    <mergeCell ref="AP19:AQ19"/>
    <mergeCell ref="AL21:AO21"/>
    <mergeCell ref="AP21:AQ21"/>
    <mergeCell ref="B23:C23"/>
    <mergeCell ref="D23:F23"/>
    <mergeCell ref="G23:M23"/>
    <mergeCell ref="N23:S23"/>
    <mergeCell ref="T23:X23"/>
    <mergeCell ref="B22:C22"/>
    <mergeCell ref="G22:I22"/>
    <mergeCell ref="K22:M22"/>
    <mergeCell ref="O22:P22"/>
    <mergeCell ref="Q22:S22"/>
    <mergeCell ref="T22:U22"/>
    <mergeCell ref="S26:X26"/>
    <mergeCell ref="C27:C29"/>
    <mergeCell ref="D27:D29"/>
    <mergeCell ref="J27:K27"/>
    <mergeCell ref="S27:X38"/>
    <mergeCell ref="H28:I28"/>
    <mergeCell ref="B24:C24"/>
    <mergeCell ref="D24:F24"/>
    <mergeCell ref="G24:M24"/>
    <mergeCell ref="N24:S24"/>
    <mergeCell ref="T24:X24"/>
    <mergeCell ref="B25:X25"/>
    <mergeCell ref="J28:K28"/>
    <mergeCell ref="N28:O28"/>
    <mergeCell ref="P28:R28"/>
    <mergeCell ref="H29:I29"/>
    <mergeCell ref="J29:K29"/>
    <mergeCell ref="N29:O29"/>
    <mergeCell ref="P29:R29"/>
    <mergeCell ref="H26:I27"/>
    <mergeCell ref="J26:M26"/>
    <mergeCell ref="N26:O27"/>
    <mergeCell ref="P26:R27"/>
    <mergeCell ref="J33:K33"/>
    <mergeCell ref="C30:C32"/>
    <mergeCell ref="D30:D32"/>
    <mergeCell ref="H30:I30"/>
    <mergeCell ref="J30:K30"/>
    <mergeCell ref="N30:O30"/>
    <mergeCell ref="P30:R30"/>
    <mergeCell ref="H31:I31"/>
    <mergeCell ref="J31:K31"/>
    <mergeCell ref="N31:O31"/>
    <mergeCell ref="P31:R31"/>
    <mergeCell ref="H32:I32"/>
    <mergeCell ref="J32:K32"/>
    <mergeCell ref="N32:O32"/>
    <mergeCell ref="P32:R32"/>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B46:H46"/>
    <mergeCell ref="L46:M46"/>
    <mergeCell ref="Q46:R46"/>
    <mergeCell ref="I47:X47"/>
    <mergeCell ref="B48:X48"/>
    <mergeCell ref="H34:I34"/>
    <mergeCell ref="J34:K34"/>
    <mergeCell ref="N34:O34"/>
    <mergeCell ref="P34:R34"/>
    <mergeCell ref="H35:I35"/>
    <mergeCell ref="J35:K35"/>
    <mergeCell ref="N35:O35"/>
    <mergeCell ref="P35:R35"/>
    <mergeCell ref="C33:C35"/>
    <mergeCell ref="D33:D35"/>
    <mergeCell ref="H33:I33"/>
    <mergeCell ref="N33:O33"/>
    <mergeCell ref="P33:R3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6">
    <tabColor theme="8"/>
    <pageSetUpPr fitToPage="1"/>
  </sheetPr>
  <dimension ref="B1:AR50"/>
  <sheetViews>
    <sheetView zoomScale="80" zoomScaleNormal="80" zoomScaleSheetLayoutView="100" workbookViewId="0">
      <selection activeCell="AL18" sqref="AL18:AO1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85</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914">
        <v>0</v>
      </c>
      <c r="AJ7" s="915"/>
      <c r="AK7" s="916"/>
      <c r="AL7" s="914">
        <v>0</v>
      </c>
      <c r="AM7" s="915"/>
      <c r="AN7" s="915"/>
      <c r="AO7" s="916"/>
      <c r="AP7" s="674">
        <v>0</v>
      </c>
      <c r="AQ7" s="674"/>
      <c r="AR7" s="668">
        <f>SUM(AP7:AQ10)/4</f>
        <v>0</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917"/>
      <c r="AJ8" s="918"/>
      <c r="AK8" s="919"/>
      <c r="AL8" s="917"/>
      <c r="AM8" s="918"/>
      <c r="AN8" s="918"/>
      <c r="AO8" s="919"/>
      <c r="AP8" s="674">
        <v>0</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917"/>
      <c r="AJ9" s="918"/>
      <c r="AK9" s="919"/>
      <c r="AL9" s="917"/>
      <c r="AM9" s="918"/>
      <c r="AN9" s="918"/>
      <c r="AO9" s="919"/>
      <c r="AP9" s="674">
        <v>0</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920"/>
      <c r="AJ10" s="921"/>
      <c r="AK10" s="922"/>
      <c r="AL10" s="920"/>
      <c r="AM10" s="921"/>
      <c r="AN10" s="921"/>
      <c r="AO10" s="922"/>
      <c r="AP10" s="674">
        <v>0</v>
      </c>
      <c r="AQ10" s="674"/>
      <c r="AR10" s="668"/>
    </row>
    <row r="11" spans="2:44" ht="38.25" customHeight="1">
      <c r="B11" s="640" t="s">
        <v>168</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923">
        <v>0</v>
      </c>
      <c r="AJ11" s="924"/>
      <c r="AK11" s="924"/>
      <c r="AL11" s="923">
        <v>0</v>
      </c>
      <c r="AM11" s="924"/>
      <c r="AN11" s="924"/>
      <c r="AO11" s="925"/>
      <c r="AP11" s="671">
        <v>0</v>
      </c>
      <c r="AQ11" s="671"/>
      <c r="AR11" s="669">
        <f>SUM(AP11:AQ14)/4</f>
        <v>0</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926"/>
      <c r="AJ12" s="927"/>
      <c r="AK12" s="927"/>
      <c r="AL12" s="926"/>
      <c r="AM12" s="927"/>
      <c r="AN12" s="927"/>
      <c r="AO12" s="928"/>
      <c r="AP12" s="671">
        <v>0</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926"/>
      <c r="AJ13" s="927"/>
      <c r="AK13" s="927"/>
      <c r="AL13" s="926"/>
      <c r="AM13" s="927"/>
      <c r="AN13" s="927"/>
      <c r="AO13" s="928"/>
      <c r="AP13" s="671">
        <v>0</v>
      </c>
      <c r="AQ13" s="671"/>
      <c r="AR13" s="669"/>
    </row>
    <row r="14" spans="2:44" ht="29.25" customHeight="1">
      <c r="B14" s="632" t="s">
        <v>403</v>
      </c>
      <c r="C14" s="632"/>
      <c r="D14" s="632"/>
      <c r="E14" s="632"/>
      <c r="F14" s="632"/>
      <c r="G14" s="644" t="s">
        <v>99</v>
      </c>
      <c r="H14" s="644"/>
      <c r="I14" s="644"/>
      <c r="J14" s="644"/>
      <c r="K14" s="644">
        <v>0.4</v>
      </c>
      <c r="L14" s="644"/>
      <c r="M14" s="644"/>
      <c r="N14" s="644"/>
      <c r="O14" s="635">
        <v>0.4</v>
      </c>
      <c r="P14" s="636"/>
      <c r="Q14" s="636"/>
      <c r="R14" s="637"/>
      <c r="S14" s="591">
        <v>44561</v>
      </c>
      <c r="T14" s="592"/>
      <c r="U14" s="593"/>
      <c r="V14" s="594">
        <v>2021</v>
      </c>
      <c r="W14" s="594"/>
      <c r="X14" s="594"/>
      <c r="AB14" s="679"/>
      <c r="AC14" s="679"/>
      <c r="AD14" s="681" t="s">
        <v>134</v>
      </c>
      <c r="AE14" s="681"/>
      <c r="AF14" s="681"/>
      <c r="AG14" s="681"/>
      <c r="AH14" s="681"/>
      <c r="AI14" s="929"/>
      <c r="AJ14" s="930"/>
      <c r="AK14" s="930"/>
      <c r="AL14" s="929"/>
      <c r="AM14" s="930"/>
      <c r="AN14" s="930"/>
      <c r="AO14" s="931"/>
      <c r="AP14" s="671">
        <v>0</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914">
        <v>40</v>
      </c>
      <c r="AJ15" s="915"/>
      <c r="AK15" s="916"/>
      <c r="AL15" s="910">
        <v>0</v>
      </c>
      <c r="AM15" s="910"/>
      <c r="AN15" s="910"/>
      <c r="AO15" s="910"/>
      <c r="AP15" s="940">
        <v>0</v>
      </c>
      <c r="AQ15" s="940"/>
      <c r="AR15" s="668">
        <f t="shared" ref="AR15" si="0">SUM(AP15:AQ18)/4</f>
        <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917"/>
      <c r="AJ16" s="918"/>
      <c r="AK16" s="919"/>
      <c r="AL16" s="910">
        <v>0</v>
      </c>
      <c r="AM16" s="910"/>
      <c r="AN16" s="910"/>
      <c r="AO16" s="910"/>
      <c r="AP16" s="674">
        <f t="shared" ref="AP16:AP18" si="1">AL16-AI16</f>
        <v>0</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917"/>
      <c r="AJ17" s="918"/>
      <c r="AK17" s="919"/>
      <c r="AL17" s="910">
        <v>0</v>
      </c>
      <c r="AM17" s="910"/>
      <c r="AN17" s="910"/>
      <c r="AO17" s="910"/>
      <c r="AP17" s="674">
        <f t="shared" si="1"/>
        <v>0</v>
      </c>
      <c r="AQ17" s="674"/>
      <c r="AR17" s="668"/>
    </row>
    <row r="18" spans="2:44" ht="28.5" customHeight="1">
      <c r="B18" s="159" t="s">
        <v>195</v>
      </c>
      <c r="C18" s="607" t="s">
        <v>112</v>
      </c>
      <c r="D18" s="608"/>
      <c r="E18" s="644">
        <v>0.4</v>
      </c>
      <c r="F18" s="644"/>
      <c r="G18" s="632" t="s">
        <v>372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920"/>
      <c r="AJ18" s="921"/>
      <c r="AK18" s="922"/>
      <c r="AL18" s="910">
        <v>0</v>
      </c>
      <c r="AM18" s="910"/>
      <c r="AN18" s="910"/>
      <c r="AO18" s="910"/>
      <c r="AP18" s="674">
        <f t="shared" si="1"/>
        <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19">
        <v>0</v>
      </c>
      <c r="AJ19" s="819"/>
      <c r="AK19" s="819"/>
      <c r="AL19" s="819">
        <v>0</v>
      </c>
      <c r="AM19" s="819"/>
      <c r="AN19" s="819"/>
      <c r="AO19" s="819"/>
      <c r="AP19" s="671" t="e">
        <f t="shared" ref="AP19:AP22" si="2">AL19/AI19</f>
        <v>#DIV/0!</v>
      </c>
      <c r="AQ19" s="671"/>
      <c r="AR19" s="669" t="e">
        <f t="shared" ref="AR19" si="3">SUM(AP19:AQ22)/4</f>
        <v>#DIV/0!</v>
      </c>
    </row>
    <row r="20" spans="2:44" ht="45.4" customHeight="1">
      <c r="B20" s="607" t="s">
        <v>401</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19">
        <v>40</v>
      </c>
      <c r="AJ20" s="819"/>
      <c r="AK20" s="819"/>
      <c r="AL20" s="819"/>
      <c r="AM20" s="819"/>
      <c r="AN20" s="819"/>
      <c r="AO20" s="819"/>
      <c r="AP20" s="671">
        <f t="shared" si="2"/>
        <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19"/>
      <c r="AJ21" s="819"/>
      <c r="AK21" s="819"/>
      <c r="AL21" s="819"/>
      <c r="AM21" s="819"/>
      <c r="AN21" s="819"/>
      <c r="AO21" s="819"/>
      <c r="AP21" s="671" t="e">
        <f t="shared" si="2"/>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19"/>
      <c r="AJ22" s="819"/>
      <c r="AK22" s="819"/>
      <c r="AL22" s="819"/>
      <c r="AM22" s="819"/>
      <c r="AN22" s="819"/>
      <c r="AO22" s="819"/>
      <c r="AP22" s="671" t="e">
        <f t="shared" si="2"/>
        <v>#DIV/0!</v>
      </c>
      <c r="AQ22" s="671"/>
      <c r="AR22" s="669"/>
    </row>
    <row r="23" spans="2:44" ht="18.95" customHeight="1">
      <c r="B23" s="633" t="s">
        <v>25</v>
      </c>
      <c r="C23" s="633"/>
      <c r="D23" s="682">
        <f>AL15</f>
        <v>0</v>
      </c>
      <c r="E23" s="683"/>
      <c r="F23" s="684"/>
      <c r="G23" s="685">
        <f>AL16</f>
        <v>0</v>
      </c>
      <c r="H23" s="872"/>
      <c r="I23" s="872"/>
      <c r="J23" s="872"/>
      <c r="K23" s="872"/>
      <c r="L23" s="872"/>
      <c r="M23" s="873"/>
      <c r="N23" s="682">
        <f>AL17</f>
        <v>0</v>
      </c>
      <c r="O23" s="683"/>
      <c r="P23" s="683"/>
      <c r="Q23" s="683"/>
      <c r="R23" s="683"/>
      <c r="S23" s="684"/>
      <c r="T23" s="685">
        <f>AL18</f>
        <v>0</v>
      </c>
      <c r="U23" s="643"/>
      <c r="V23" s="643"/>
      <c r="W23" s="643"/>
      <c r="X23" s="608"/>
      <c r="Z23" s="52"/>
      <c r="AA23" s="52"/>
    </row>
    <row r="24" spans="2:44" ht="18.95" customHeight="1">
      <c r="B24" s="633" t="s">
        <v>26</v>
      </c>
      <c r="C24" s="633"/>
      <c r="D24" s="682">
        <v>40</v>
      </c>
      <c r="E24" s="715"/>
      <c r="F24" s="715"/>
      <c r="G24" s="715"/>
      <c r="H24" s="715"/>
      <c r="I24" s="715"/>
      <c r="J24" s="715"/>
      <c r="K24" s="715"/>
      <c r="L24" s="715"/>
      <c r="M24" s="715"/>
      <c r="N24" s="715"/>
      <c r="O24" s="715"/>
      <c r="P24" s="715"/>
      <c r="Q24" s="715"/>
      <c r="R24" s="715"/>
      <c r="S24" s="715"/>
      <c r="T24" s="715"/>
      <c r="U24" s="715"/>
      <c r="V24" s="715"/>
      <c r="W24" s="715"/>
      <c r="X24" s="716"/>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v>
      </c>
      <c r="D27" s="686">
        <f>$E$18</f>
        <v>0.4</v>
      </c>
      <c r="E27" s="92">
        <f>$O$14</f>
        <v>0.4</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0.4</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0.4</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IF(ISERROR($G$23/$D$24),0,$G$23/$D$24)</f>
        <v>0</v>
      </c>
      <c r="D30" s="686">
        <f t="shared" ref="D30:D36" si="5">$E$18</f>
        <v>0.4</v>
      </c>
      <c r="E30" s="92">
        <f t="shared" si="4"/>
        <v>0.4</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0.4</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0.4</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IF(ISERROR($N$23/$D$24),0,$N$23/$D$24)</f>
        <v>0</v>
      </c>
      <c r="D33" s="686">
        <f t="shared" si="5"/>
        <v>0.4</v>
      </c>
      <c r="E33" s="92">
        <f t="shared" si="4"/>
        <v>0.4</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0.4</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0.4</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IF(ISERROR($T$23/$D$24),0,$T$23/$D$24)</f>
        <v>0</v>
      </c>
      <c r="D36" s="686">
        <f t="shared" si="5"/>
        <v>0.4</v>
      </c>
      <c r="E36" s="92">
        <f t="shared" si="4"/>
        <v>0.4</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0.4</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t="s">
        <v>388</v>
      </c>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03">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P8:AQ8"/>
    <mergeCell ref="B9:X9"/>
    <mergeCell ref="AD9:AH9"/>
    <mergeCell ref="AP9:AQ9"/>
    <mergeCell ref="B7:F8"/>
    <mergeCell ref="G7:X8"/>
    <mergeCell ref="AB7:AC10"/>
    <mergeCell ref="AD7:AH7"/>
    <mergeCell ref="B10:X10"/>
    <mergeCell ref="AD10:AH10"/>
    <mergeCell ref="AP10:AQ10"/>
    <mergeCell ref="AI7:AK10"/>
    <mergeCell ref="AL7:AO10"/>
    <mergeCell ref="AP11:AQ11"/>
    <mergeCell ref="B12:F13"/>
    <mergeCell ref="G12:J13"/>
    <mergeCell ref="K12:N13"/>
    <mergeCell ref="O12:X12"/>
    <mergeCell ref="AD12:AH12"/>
    <mergeCell ref="AP12:AQ12"/>
    <mergeCell ref="O13:R13"/>
    <mergeCell ref="S13:U13"/>
    <mergeCell ref="V13:X13"/>
    <mergeCell ref="AD13:AH13"/>
    <mergeCell ref="AP13:AQ13"/>
    <mergeCell ref="AI11:AK14"/>
    <mergeCell ref="AL11:AO14"/>
    <mergeCell ref="AP14:AQ14"/>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8"/>
    <mergeCell ref="AP19:AQ19"/>
    <mergeCell ref="B20:L20"/>
    <mergeCell ref="M20:X20"/>
    <mergeCell ref="AD20:AH20"/>
    <mergeCell ref="AI20:AK20"/>
    <mergeCell ref="AL20:AO20"/>
    <mergeCell ref="AP20:AQ20"/>
    <mergeCell ref="AD18:AH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B25:X25"/>
    <mergeCell ref="D24:X24"/>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7">
    <tabColor rgb="FF00B050"/>
    <pageSetUpPr fitToPage="1"/>
  </sheetPr>
  <dimension ref="B1:AR50"/>
  <sheetViews>
    <sheetView zoomScale="80" zoomScaleNormal="80" zoomScaleSheetLayoutView="100" workbookViewId="0">
      <selection activeCell="AJ25" sqref="AJ25"/>
    </sheetView>
  </sheetViews>
  <sheetFormatPr baseColWidth="10" defaultColWidth="4.625" defaultRowHeight="13.5" customHeight="1"/>
  <cols>
    <col min="1" max="1" width="1" style="172" customWidth="1"/>
    <col min="2" max="2" width="9.875" style="172" customWidth="1"/>
    <col min="3" max="3" width="8.5" style="172" customWidth="1"/>
    <col min="4" max="4" width="8.25" style="172" customWidth="1"/>
    <col min="5" max="5" width="8.125" style="172" customWidth="1"/>
    <col min="6" max="6" width="6.625" style="172" customWidth="1"/>
    <col min="7" max="7" width="3.5" style="172" customWidth="1"/>
    <col min="8" max="8" width="2.375" style="172" customWidth="1"/>
    <col min="9" max="9" width="2" style="172" customWidth="1"/>
    <col min="10" max="10" width="7.25" style="172" customWidth="1"/>
    <col min="11" max="11" width="1.75" style="172" customWidth="1"/>
    <col min="12" max="12" width="2.125" style="172" customWidth="1"/>
    <col min="13" max="13" width="2.375" style="172" customWidth="1"/>
    <col min="14" max="14" width="6.125" style="172" customWidth="1"/>
    <col min="15" max="15" width="4.5" style="172" customWidth="1"/>
    <col min="16" max="16" width="2" style="172" customWidth="1"/>
    <col min="17" max="17" width="1.5" style="172" customWidth="1"/>
    <col min="18" max="18" width="3.75" style="172" customWidth="1"/>
    <col min="19" max="19" width="5.375" style="172" customWidth="1"/>
    <col min="20" max="20" width="3.875" style="172" customWidth="1"/>
    <col min="21" max="21" width="4.375" style="172" customWidth="1"/>
    <col min="22" max="22" width="5.875" style="172" customWidth="1"/>
    <col min="23" max="23" width="5.75" style="172" customWidth="1"/>
    <col min="24" max="24" width="6.25" style="172" customWidth="1"/>
    <col min="25" max="25" width="1.375" style="94" customWidth="1"/>
    <col min="26" max="26" width="3.25" style="95" customWidth="1"/>
    <col min="27" max="27" width="3.75" style="95" customWidth="1"/>
    <col min="28" max="43" width="4.625" style="95"/>
    <col min="44" max="44" width="9.375" style="172" customWidth="1"/>
    <col min="45" max="16384" width="4.625" style="172"/>
  </cols>
  <sheetData>
    <row r="1" spans="2:44" ht="20.25" customHeight="1">
      <c r="B1" s="838" t="s">
        <v>72</v>
      </c>
      <c r="C1" s="839"/>
      <c r="D1" s="839"/>
      <c r="E1" s="839"/>
      <c r="F1" s="839"/>
      <c r="G1" s="839"/>
      <c r="H1" s="839"/>
      <c r="I1" s="839"/>
      <c r="J1" s="839"/>
      <c r="K1" s="839"/>
      <c r="L1" s="839"/>
      <c r="M1" s="839"/>
      <c r="N1" s="839"/>
      <c r="O1" s="839"/>
      <c r="P1" s="839"/>
      <c r="Q1" s="839"/>
      <c r="R1" s="839"/>
      <c r="S1" s="839"/>
      <c r="T1" s="840"/>
      <c r="U1" s="841"/>
      <c r="V1" s="842"/>
      <c r="W1" s="842"/>
      <c r="X1" s="843"/>
      <c r="AB1" s="667" t="s">
        <v>447</v>
      </c>
      <c r="AC1" s="667"/>
      <c r="AD1" s="667"/>
      <c r="AE1" s="667"/>
      <c r="AF1" s="667"/>
      <c r="AG1" s="667"/>
      <c r="AH1" s="667"/>
      <c r="AI1" s="667"/>
      <c r="AJ1" s="667"/>
      <c r="AK1" s="667"/>
      <c r="AL1" s="667"/>
      <c r="AM1" s="667"/>
      <c r="AN1" s="667"/>
      <c r="AO1" s="667"/>
      <c r="AP1" s="667"/>
      <c r="AQ1" s="667"/>
      <c r="AR1" s="667"/>
    </row>
    <row r="2" spans="2:44" ht="13.5" customHeight="1">
      <c r="B2" s="850" t="s">
        <v>75</v>
      </c>
      <c r="C2" s="851"/>
      <c r="D2" s="851"/>
      <c r="E2" s="851"/>
      <c r="F2" s="851"/>
      <c r="G2" s="851"/>
      <c r="H2" s="851"/>
      <c r="I2" s="851"/>
      <c r="J2" s="851"/>
      <c r="K2" s="851"/>
      <c r="L2" s="851"/>
      <c r="M2" s="851"/>
      <c r="N2" s="851"/>
      <c r="O2" s="851"/>
      <c r="P2" s="851"/>
      <c r="Q2" s="851"/>
      <c r="R2" s="851"/>
      <c r="S2" s="851"/>
      <c r="T2" s="852"/>
      <c r="U2" s="844"/>
      <c r="V2" s="845"/>
      <c r="W2" s="845"/>
      <c r="X2" s="846"/>
    </row>
    <row r="3" spans="2:44" ht="13.5" customHeight="1">
      <c r="B3" s="853"/>
      <c r="C3" s="854"/>
      <c r="D3" s="854"/>
      <c r="E3" s="854"/>
      <c r="F3" s="854"/>
      <c r="G3" s="854"/>
      <c r="H3" s="854"/>
      <c r="I3" s="854"/>
      <c r="J3" s="854"/>
      <c r="K3" s="854"/>
      <c r="L3" s="854"/>
      <c r="M3" s="854"/>
      <c r="N3" s="854"/>
      <c r="O3" s="854"/>
      <c r="P3" s="854"/>
      <c r="Q3" s="854"/>
      <c r="R3" s="854"/>
      <c r="S3" s="854"/>
      <c r="T3" s="855"/>
      <c r="U3" s="844"/>
      <c r="V3" s="845"/>
      <c r="W3" s="845"/>
      <c r="X3" s="846"/>
      <c r="AB3" s="676" t="s">
        <v>194</v>
      </c>
      <c r="AC3" s="676"/>
      <c r="AD3" s="676"/>
      <c r="AE3" s="676"/>
      <c r="AF3" s="676"/>
      <c r="AG3" s="676"/>
      <c r="AH3" s="676"/>
      <c r="AI3" s="676"/>
      <c r="AJ3" s="676"/>
      <c r="AK3" s="676"/>
      <c r="AL3" s="676"/>
      <c r="AM3" s="676"/>
      <c r="AN3" s="676"/>
      <c r="AO3" s="676"/>
      <c r="AP3" s="676"/>
      <c r="AQ3" s="676"/>
      <c r="AR3" s="676"/>
    </row>
    <row r="4" spans="2:44" ht="13.5" customHeight="1">
      <c r="B4" s="856"/>
      <c r="C4" s="857"/>
      <c r="D4" s="857"/>
      <c r="E4" s="857"/>
      <c r="F4" s="857"/>
      <c r="G4" s="857"/>
      <c r="H4" s="857"/>
      <c r="I4" s="857"/>
      <c r="J4" s="857"/>
      <c r="K4" s="857"/>
      <c r="L4" s="857"/>
      <c r="M4" s="857"/>
      <c r="N4" s="857"/>
      <c r="O4" s="857"/>
      <c r="P4" s="857"/>
      <c r="Q4" s="857"/>
      <c r="R4" s="857"/>
      <c r="S4" s="857"/>
      <c r="T4" s="858"/>
      <c r="U4" s="847"/>
      <c r="V4" s="848"/>
      <c r="W4" s="848"/>
      <c r="X4" s="849"/>
      <c r="AB4" s="676"/>
      <c r="AC4" s="676"/>
      <c r="AD4" s="676"/>
      <c r="AE4" s="676"/>
      <c r="AF4" s="676"/>
      <c r="AG4" s="676"/>
      <c r="AH4" s="676"/>
      <c r="AI4" s="676"/>
      <c r="AJ4" s="676"/>
      <c r="AK4" s="676"/>
      <c r="AL4" s="676"/>
      <c r="AM4" s="676"/>
      <c r="AN4" s="676"/>
      <c r="AO4" s="676"/>
      <c r="AP4" s="676"/>
      <c r="AQ4" s="676"/>
      <c r="AR4" s="676"/>
    </row>
    <row r="5" spans="2:44" s="41" customFormat="1" ht="14.25" customHeight="1">
      <c r="B5" s="170" t="s">
        <v>0</v>
      </c>
      <c r="C5" s="561" t="s">
        <v>126</v>
      </c>
      <c r="D5" s="561"/>
      <c r="E5" s="562" t="s">
        <v>1</v>
      </c>
      <c r="F5" s="562"/>
      <c r="G5" s="562"/>
      <c r="H5" s="561" t="s">
        <v>118</v>
      </c>
      <c r="I5" s="561"/>
      <c r="J5" s="561"/>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825"/>
      <c r="C6" s="825"/>
      <c r="D6" s="825"/>
      <c r="E6" s="825"/>
      <c r="F6" s="825"/>
      <c r="G6" s="825"/>
      <c r="H6" s="825"/>
      <c r="I6" s="825"/>
      <c r="J6" s="825"/>
      <c r="K6" s="825"/>
      <c r="L6" s="825"/>
      <c r="M6" s="825"/>
      <c r="N6" s="825"/>
      <c r="O6" s="825"/>
      <c r="P6" s="825"/>
      <c r="Q6" s="825"/>
      <c r="R6" s="825"/>
      <c r="S6" s="825"/>
      <c r="T6" s="825"/>
      <c r="U6" s="825"/>
      <c r="V6" s="825"/>
      <c r="W6" s="825"/>
      <c r="X6" s="825"/>
      <c r="AB6" s="675"/>
      <c r="AC6" s="675"/>
      <c r="AD6" s="675"/>
      <c r="AE6" s="675"/>
      <c r="AF6" s="675"/>
      <c r="AG6" s="675"/>
      <c r="AH6" s="675"/>
      <c r="AI6" s="675"/>
      <c r="AJ6" s="675"/>
      <c r="AK6" s="675"/>
      <c r="AL6" s="675"/>
      <c r="AM6" s="675"/>
      <c r="AN6" s="675"/>
      <c r="AO6" s="675"/>
      <c r="AP6" s="676"/>
      <c r="AQ6" s="676"/>
      <c r="AR6" s="678"/>
    </row>
    <row r="7" spans="2:44" ht="14.25" customHeight="1">
      <c r="B7" s="826" t="s">
        <v>76</v>
      </c>
      <c r="C7" s="827"/>
      <c r="D7" s="827"/>
      <c r="E7" s="827"/>
      <c r="F7" s="828"/>
      <c r="G7" s="832" t="s">
        <v>77</v>
      </c>
      <c r="H7" s="833"/>
      <c r="I7" s="833"/>
      <c r="J7" s="833"/>
      <c r="K7" s="833"/>
      <c r="L7" s="833"/>
      <c r="M7" s="833"/>
      <c r="N7" s="833"/>
      <c r="O7" s="833"/>
      <c r="P7" s="833"/>
      <c r="Q7" s="833"/>
      <c r="R7" s="833"/>
      <c r="S7" s="833"/>
      <c r="T7" s="833"/>
      <c r="U7" s="833"/>
      <c r="V7" s="833"/>
      <c r="W7" s="833"/>
      <c r="X7" s="834"/>
      <c r="AB7" s="806">
        <v>2019</v>
      </c>
      <c r="AC7" s="806"/>
      <c r="AD7" s="801" t="s">
        <v>127</v>
      </c>
      <c r="AE7" s="801"/>
      <c r="AF7" s="801"/>
      <c r="AG7" s="801"/>
      <c r="AH7" s="801"/>
      <c r="AI7" s="673">
        <v>5</v>
      </c>
      <c r="AJ7" s="673"/>
      <c r="AK7" s="673"/>
      <c r="AL7" s="673">
        <v>5</v>
      </c>
      <c r="AM7" s="673"/>
      <c r="AN7" s="673"/>
      <c r="AO7" s="673"/>
      <c r="AP7" s="674">
        <f t="shared" ref="AP7:AP10" si="0">AL7/AI7</f>
        <v>1</v>
      </c>
      <c r="AQ7" s="674"/>
      <c r="AR7" s="668">
        <f>SUM(AP7:AQ10)/4</f>
        <v>1</v>
      </c>
    </row>
    <row r="8" spans="2:44" ht="14.25" customHeight="1">
      <c r="B8" s="829"/>
      <c r="C8" s="830"/>
      <c r="D8" s="830"/>
      <c r="E8" s="830"/>
      <c r="F8" s="831"/>
      <c r="G8" s="835"/>
      <c r="H8" s="836"/>
      <c r="I8" s="836"/>
      <c r="J8" s="836"/>
      <c r="K8" s="836"/>
      <c r="L8" s="836"/>
      <c r="M8" s="836"/>
      <c r="N8" s="836"/>
      <c r="O8" s="836"/>
      <c r="P8" s="836"/>
      <c r="Q8" s="836"/>
      <c r="R8" s="836"/>
      <c r="S8" s="836"/>
      <c r="T8" s="836"/>
      <c r="U8" s="836"/>
      <c r="V8" s="836"/>
      <c r="W8" s="836"/>
      <c r="X8" s="837"/>
      <c r="AB8" s="806"/>
      <c r="AC8" s="806"/>
      <c r="AD8" s="801" t="s">
        <v>128</v>
      </c>
      <c r="AE8" s="801"/>
      <c r="AF8" s="801"/>
      <c r="AG8" s="801"/>
      <c r="AH8" s="801"/>
      <c r="AI8" s="673">
        <v>6</v>
      </c>
      <c r="AJ8" s="673"/>
      <c r="AK8" s="673"/>
      <c r="AL8" s="673">
        <v>6</v>
      </c>
      <c r="AM8" s="673"/>
      <c r="AN8" s="673"/>
      <c r="AO8" s="673"/>
      <c r="AP8" s="674">
        <f t="shared" si="0"/>
        <v>1</v>
      </c>
      <c r="AQ8" s="674"/>
      <c r="AR8" s="668"/>
    </row>
    <row r="9" spans="2:44" ht="19.149999999999999" customHeight="1">
      <c r="B9" s="791" t="s">
        <v>49</v>
      </c>
      <c r="C9" s="792"/>
      <c r="D9" s="792"/>
      <c r="E9" s="792"/>
      <c r="F9" s="792"/>
      <c r="G9" s="792"/>
      <c r="H9" s="792"/>
      <c r="I9" s="792"/>
      <c r="J9" s="792"/>
      <c r="K9" s="792"/>
      <c r="L9" s="792"/>
      <c r="M9" s="792"/>
      <c r="N9" s="792"/>
      <c r="O9" s="792"/>
      <c r="P9" s="792"/>
      <c r="Q9" s="792"/>
      <c r="R9" s="792"/>
      <c r="S9" s="792"/>
      <c r="T9" s="792"/>
      <c r="U9" s="792"/>
      <c r="V9" s="792"/>
      <c r="W9" s="792"/>
      <c r="X9" s="793"/>
      <c r="AB9" s="806"/>
      <c r="AC9" s="806"/>
      <c r="AD9" s="801" t="s">
        <v>129</v>
      </c>
      <c r="AE9" s="801"/>
      <c r="AF9" s="801"/>
      <c r="AG9" s="801"/>
      <c r="AH9" s="801"/>
      <c r="AI9" s="673">
        <v>6</v>
      </c>
      <c r="AJ9" s="673"/>
      <c r="AK9" s="673"/>
      <c r="AL9" s="673">
        <v>6</v>
      </c>
      <c r="AM9" s="673"/>
      <c r="AN9" s="673"/>
      <c r="AO9" s="673"/>
      <c r="AP9" s="674">
        <f t="shared" si="0"/>
        <v>1</v>
      </c>
      <c r="AQ9" s="674"/>
      <c r="AR9" s="668"/>
    </row>
    <row r="10" spans="2:44" ht="15" customHeight="1">
      <c r="B10" s="802" t="s">
        <v>4</v>
      </c>
      <c r="C10" s="803"/>
      <c r="D10" s="803"/>
      <c r="E10" s="803"/>
      <c r="F10" s="803"/>
      <c r="G10" s="803"/>
      <c r="H10" s="803"/>
      <c r="I10" s="803"/>
      <c r="J10" s="803"/>
      <c r="K10" s="803"/>
      <c r="L10" s="803"/>
      <c r="M10" s="803"/>
      <c r="N10" s="803"/>
      <c r="O10" s="803"/>
      <c r="P10" s="803"/>
      <c r="Q10" s="803"/>
      <c r="R10" s="803"/>
      <c r="S10" s="803"/>
      <c r="T10" s="803"/>
      <c r="U10" s="803"/>
      <c r="V10" s="803"/>
      <c r="W10" s="803"/>
      <c r="X10" s="803"/>
      <c r="AB10" s="806"/>
      <c r="AC10" s="806"/>
      <c r="AD10" s="801" t="s">
        <v>130</v>
      </c>
      <c r="AE10" s="801"/>
      <c r="AF10" s="801"/>
      <c r="AG10" s="801"/>
      <c r="AH10" s="801"/>
      <c r="AI10" s="673">
        <v>5</v>
      </c>
      <c r="AJ10" s="673"/>
      <c r="AK10" s="673"/>
      <c r="AL10" s="673">
        <v>5</v>
      </c>
      <c r="AM10" s="673"/>
      <c r="AN10" s="673"/>
      <c r="AO10" s="673"/>
      <c r="AP10" s="674">
        <f t="shared" si="0"/>
        <v>1</v>
      </c>
      <c r="AQ10" s="674"/>
      <c r="AR10" s="668"/>
    </row>
    <row r="11" spans="2:44" ht="38.25" customHeight="1">
      <c r="B11" s="823" t="s">
        <v>431</v>
      </c>
      <c r="C11" s="823"/>
      <c r="D11" s="823"/>
      <c r="E11" s="823"/>
      <c r="F11" s="823"/>
      <c r="G11" s="823"/>
      <c r="H11" s="823"/>
      <c r="I11" s="823"/>
      <c r="J11" s="823"/>
      <c r="K11" s="823"/>
      <c r="L11" s="823"/>
      <c r="M11" s="823"/>
      <c r="N11" s="823"/>
      <c r="O11" s="823"/>
      <c r="P11" s="823"/>
      <c r="Q11" s="823"/>
      <c r="R11" s="823"/>
      <c r="S11" s="823"/>
      <c r="T11" s="823"/>
      <c r="U11" s="823"/>
      <c r="V11" s="823"/>
      <c r="W11" s="823"/>
      <c r="X11" s="823"/>
      <c r="AB11" s="805">
        <v>2020</v>
      </c>
      <c r="AC11" s="805"/>
      <c r="AD11" s="797" t="s">
        <v>131</v>
      </c>
      <c r="AE11" s="797"/>
      <c r="AF11" s="797"/>
      <c r="AG11" s="797"/>
      <c r="AH11" s="797"/>
      <c r="AI11" s="672">
        <v>5</v>
      </c>
      <c r="AJ11" s="672"/>
      <c r="AK11" s="672"/>
      <c r="AL11" s="672">
        <v>1</v>
      </c>
      <c r="AM11" s="672"/>
      <c r="AN11" s="672"/>
      <c r="AO11" s="672"/>
      <c r="AP11" s="671">
        <f>AL11/AI11</f>
        <v>0.2</v>
      </c>
      <c r="AQ11" s="671"/>
      <c r="AR11" s="669">
        <f>SUM(AP11:AQ14)/4</f>
        <v>0.55000000000000004</v>
      </c>
    </row>
    <row r="12" spans="2:44" ht="12.75">
      <c r="B12" s="810" t="s">
        <v>56</v>
      </c>
      <c r="C12" s="814"/>
      <c r="D12" s="814"/>
      <c r="E12" s="814"/>
      <c r="F12" s="811"/>
      <c r="G12" s="810" t="s">
        <v>48</v>
      </c>
      <c r="H12" s="814"/>
      <c r="I12" s="814"/>
      <c r="J12" s="811"/>
      <c r="K12" s="810" t="s">
        <v>5</v>
      </c>
      <c r="L12" s="814"/>
      <c r="M12" s="814"/>
      <c r="N12" s="811"/>
      <c r="O12" s="802" t="s">
        <v>6</v>
      </c>
      <c r="P12" s="803"/>
      <c r="Q12" s="803"/>
      <c r="R12" s="803"/>
      <c r="S12" s="803"/>
      <c r="T12" s="803"/>
      <c r="U12" s="803"/>
      <c r="V12" s="803"/>
      <c r="W12" s="803"/>
      <c r="X12" s="804"/>
      <c r="Y12" s="97"/>
      <c r="Z12" s="98"/>
      <c r="AA12" s="98"/>
      <c r="AB12" s="805"/>
      <c r="AC12" s="805"/>
      <c r="AD12" s="797" t="s">
        <v>132</v>
      </c>
      <c r="AE12" s="797"/>
      <c r="AF12" s="797"/>
      <c r="AG12" s="797"/>
      <c r="AH12" s="797"/>
      <c r="AI12" s="672">
        <v>5</v>
      </c>
      <c r="AJ12" s="672"/>
      <c r="AK12" s="672"/>
      <c r="AL12" s="672">
        <v>3</v>
      </c>
      <c r="AM12" s="672"/>
      <c r="AN12" s="672"/>
      <c r="AO12" s="672"/>
      <c r="AP12" s="671">
        <f t="shared" ref="AP12:AP22" si="1">AL12/AI12</f>
        <v>0.6</v>
      </c>
      <c r="AQ12" s="671"/>
      <c r="AR12" s="669"/>
    </row>
    <row r="13" spans="2:44" ht="25.5" customHeight="1">
      <c r="B13" s="812"/>
      <c r="C13" s="815"/>
      <c r="D13" s="815"/>
      <c r="E13" s="815"/>
      <c r="F13" s="813"/>
      <c r="G13" s="812"/>
      <c r="H13" s="815"/>
      <c r="I13" s="815"/>
      <c r="J13" s="813"/>
      <c r="K13" s="812"/>
      <c r="L13" s="815"/>
      <c r="M13" s="815"/>
      <c r="N13" s="813"/>
      <c r="O13" s="802" t="s">
        <v>55</v>
      </c>
      <c r="P13" s="803"/>
      <c r="Q13" s="803"/>
      <c r="R13" s="804"/>
      <c r="S13" s="802" t="s">
        <v>54</v>
      </c>
      <c r="T13" s="803"/>
      <c r="U13" s="804"/>
      <c r="V13" s="802" t="s">
        <v>53</v>
      </c>
      <c r="W13" s="803"/>
      <c r="X13" s="804"/>
      <c r="Y13" s="97"/>
      <c r="Z13" s="98"/>
      <c r="AA13" s="98"/>
      <c r="AB13" s="805"/>
      <c r="AC13" s="805"/>
      <c r="AD13" s="797" t="s">
        <v>133</v>
      </c>
      <c r="AE13" s="797"/>
      <c r="AF13" s="797"/>
      <c r="AG13" s="797"/>
      <c r="AH13" s="797"/>
      <c r="AI13" s="672">
        <v>5</v>
      </c>
      <c r="AJ13" s="672"/>
      <c r="AK13" s="672"/>
      <c r="AL13" s="672">
        <v>4</v>
      </c>
      <c r="AM13" s="672"/>
      <c r="AN13" s="672"/>
      <c r="AO13" s="672"/>
      <c r="AP13" s="671">
        <f t="shared" si="1"/>
        <v>0.8</v>
      </c>
      <c r="AQ13" s="671"/>
      <c r="AR13" s="669"/>
    </row>
    <row r="14" spans="2:44" ht="29.25" customHeight="1">
      <c r="B14" s="818" t="s">
        <v>432</v>
      </c>
      <c r="C14" s="818"/>
      <c r="D14" s="818"/>
      <c r="E14" s="818"/>
      <c r="F14" s="818"/>
      <c r="G14" s="711" t="s">
        <v>100</v>
      </c>
      <c r="H14" s="711"/>
      <c r="I14" s="711"/>
      <c r="J14" s="711"/>
      <c r="K14" s="711">
        <v>0.9</v>
      </c>
      <c r="L14" s="711"/>
      <c r="M14" s="711"/>
      <c r="N14" s="711"/>
      <c r="O14" s="820">
        <v>1</v>
      </c>
      <c r="P14" s="821"/>
      <c r="Q14" s="821"/>
      <c r="R14" s="822"/>
      <c r="S14" s="591">
        <v>44561</v>
      </c>
      <c r="T14" s="592"/>
      <c r="U14" s="593"/>
      <c r="V14" s="594">
        <v>2021</v>
      </c>
      <c r="W14" s="594"/>
      <c r="X14" s="594"/>
      <c r="AB14" s="805"/>
      <c r="AC14" s="805"/>
      <c r="AD14" s="797" t="s">
        <v>134</v>
      </c>
      <c r="AE14" s="797"/>
      <c r="AF14" s="797"/>
      <c r="AG14" s="797"/>
      <c r="AH14" s="797"/>
      <c r="AI14" s="672">
        <v>5</v>
      </c>
      <c r="AJ14" s="672"/>
      <c r="AK14" s="672"/>
      <c r="AL14" s="672">
        <v>3</v>
      </c>
      <c r="AM14" s="672"/>
      <c r="AN14" s="672"/>
      <c r="AO14" s="672"/>
      <c r="AP14" s="671">
        <f t="shared" si="1"/>
        <v>0.6</v>
      </c>
      <c r="AQ14" s="671"/>
      <c r="AR14" s="669"/>
    </row>
    <row r="15" spans="2:44" ht="18" customHeight="1">
      <c r="B15" s="791" t="s">
        <v>7</v>
      </c>
      <c r="C15" s="792"/>
      <c r="D15" s="792"/>
      <c r="E15" s="792"/>
      <c r="F15" s="792"/>
      <c r="G15" s="792"/>
      <c r="H15" s="792"/>
      <c r="I15" s="792"/>
      <c r="J15" s="792"/>
      <c r="K15" s="792"/>
      <c r="L15" s="792"/>
      <c r="M15" s="792"/>
      <c r="N15" s="792"/>
      <c r="O15" s="792"/>
      <c r="P15" s="792"/>
      <c r="Q15" s="792"/>
      <c r="R15" s="792"/>
      <c r="S15" s="792"/>
      <c r="T15" s="792"/>
      <c r="U15" s="792"/>
      <c r="V15" s="792"/>
      <c r="W15" s="792"/>
      <c r="X15" s="793"/>
      <c r="Z15" s="95" t="s">
        <v>51</v>
      </c>
      <c r="AB15" s="806">
        <v>2021</v>
      </c>
      <c r="AC15" s="806"/>
      <c r="AD15" s="801" t="s">
        <v>135</v>
      </c>
      <c r="AE15" s="801"/>
      <c r="AF15" s="801"/>
      <c r="AG15" s="801"/>
      <c r="AH15" s="801"/>
      <c r="AI15" s="673">
        <v>6</v>
      </c>
      <c r="AJ15" s="673"/>
      <c r="AK15" s="673"/>
      <c r="AL15" s="673">
        <v>6</v>
      </c>
      <c r="AM15" s="673"/>
      <c r="AN15" s="673"/>
      <c r="AO15" s="673"/>
      <c r="AP15" s="674">
        <f t="shared" si="1"/>
        <v>1</v>
      </c>
      <c r="AQ15" s="674"/>
      <c r="AR15" s="668" t="e">
        <f t="shared" ref="AR15" si="2">SUM(AP15:AQ18)/4</f>
        <v>#DIV/0!</v>
      </c>
    </row>
    <row r="16" spans="2:44" ht="12.75" customHeight="1">
      <c r="B16" s="808" t="s">
        <v>52</v>
      </c>
      <c r="C16" s="810" t="s">
        <v>8</v>
      </c>
      <c r="D16" s="811"/>
      <c r="E16" s="810" t="s">
        <v>115</v>
      </c>
      <c r="F16" s="811"/>
      <c r="G16" s="810" t="s">
        <v>109</v>
      </c>
      <c r="H16" s="814"/>
      <c r="I16" s="814"/>
      <c r="J16" s="814"/>
      <c r="K16" s="814"/>
      <c r="L16" s="811"/>
      <c r="M16" s="816" t="s">
        <v>116</v>
      </c>
      <c r="N16" s="816"/>
      <c r="O16" s="816"/>
      <c r="P16" s="816"/>
      <c r="Q16" s="816"/>
      <c r="R16" s="816"/>
      <c r="S16" s="816"/>
      <c r="T16" s="816"/>
      <c r="U16" s="816"/>
      <c r="V16" s="816"/>
      <c r="W16" s="816"/>
      <c r="X16" s="816"/>
      <c r="AB16" s="806"/>
      <c r="AC16" s="806"/>
      <c r="AD16" s="801" t="s">
        <v>136</v>
      </c>
      <c r="AE16" s="801"/>
      <c r="AF16" s="801"/>
      <c r="AG16" s="801"/>
      <c r="AH16" s="801"/>
      <c r="AI16" s="673">
        <v>3</v>
      </c>
      <c r="AJ16" s="673"/>
      <c r="AK16" s="673"/>
      <c r="AL16" s="673">
        <v>1</v>
      </c>
      <c r="AM16" s="673"/>
      <c r="AN16" s="673"/>
      <c r="AO16" s="673"/>
      <c r="AP16" s="674">
        <f t="shared" si="1"/>
        <v>0.33333333333333331</v>
      </c>
      <c r="AQ16" s="674"/>
      <c r="AR16" s="668"/>
    </row>
    <row r="17" spans="2:44" ht="12.75" customHeight="1">
      <c r="B17" s="809"/>
      <c r="C17" s="812"/>
      <c r="D17" s="813"/>
      <c r="E17" s="812"/>
      <c r="F17" s="813"/>
      <c r="G17" s="812"/>
      <c r="H17" s="815"/>
      <c r="I17" s="815"/>
      <c r="J17" s="815"/>
      <c r="K17" s="815"/>
      <c r="L17" s="813"/>
      <c r="M17" s="802" t="s">
        <v>121</v>
      </c>
      <c r="N17" s="803"/>
      <c r="O17" s="803"/>
      <c r="P17" s="803"/>
      <c r="Q17" s="804"/>
      <c r="R17" s="802" t="s">
        <v>122</v>
      </c>
      <c r="S17" s="803"/>
      <c r="T17" s="803"/>
      <c r="U17" s="803"/>
      <c r="V17" s="817" t="s">
        <v>117</v>
      </c>
      <c r="W17" s="817"/>
      <c r="X17" s="817"/>
      <c r="AB17" s="806"/>
      <c r="AC17" s="806"/>
      <c r="AD17" s="801" t="s">
        <v>137</v>
      </c>
      <c r="AE17" s="801"/>
      <c r="AF17" s="801"/>
      <c r="AG17" s="801"/>
      <c r="AH17" s="801"/>
      <c r="AI17" s="673">
        <v>0</v>
      </c>
      <c r="AJ17" s="673"/>
      <c r="AK17" s="673"/>
      <c r="AL17" s="673">
        <v>0</v>
      </c>
      <c r="AM17" s="673"/>
      <c r="AN17" s="673"/>
      <c r="AO17" s="673"/>
      <c r="AP17" s="674" t="e">
        <f t="shared" si="1"/>
        <v>#DIV/0!</v>
      </c>
      <c r="AQ17" s="674"/>
      <c r="AR17" s="668"/>
    </row>
    <row r="18" spans="2:44" ht="28.5" customHeight="1">
      <c r="B18" s="177" t="s">
        <v>188</v>
      </c>
      <c r="C18" s="780" t="s">
        <v>112</v>
      </c>
      <c r="D18" s="593"/>
      <c r="E18" s="711">
        <v>0.25</v>
      </c>
      <c r="F18" s="711"/>
      <c r="G18" s="818" t="s">
        <v>433</v>
      </c>
      <c r="H18" s="818"/>
      <c r="I18" s="818"/>
      <c r="J18" s="818"/>
      <c r="K18" s="818"/>
      <c r="L18" s="818"/>
      <c r="M18" s="798" t="s">
        <v>123</v>
      </c>
      <c r="N18" s="798"/>
      <c r="O18" s="798"/>
      <c r="P18" s="798"/>
      <c r="Q18" s="798"/>
      <c r="R18" s="799" t="s">
        <v>124</v>
      </c>
      <c r="S18" s="799"/>
      <c r="T18" s="799"/>
      <c r="U18" s="799"/>
      <c r="V18" s="800" t="s">
        <v>125</v>
      </c>
      <c r="W18" s="800"/>
      <c r="X18" s="800"/>
      <c r="AB18" s="806"/>
      <c r="AC18" s="806"/>
      <c r="AD18" s="801" t="s">
        <v>138</v>
      </c>
      <c r="AE18" s="801"/>
      <c r="AF18" s="801"/>
      <c r="AG18" s="801"/>
      <c r="AH18" s="801"/>
      <c r="AI18" s="673">
        <v>2</v>
      </c>
      <c r="AJ18" s="673"/>
      <c r="AK18" s="673"/>
      <c r="AL18" s="673">
        <v>2</v>
      </c>
      <c r="AM18" s="673"/>
      <c r="AN18" s="673"/>
      <c r="AO18" s="673"/>
      <c r="AP18" s="674">
        <f t="shared" si="1"/>
        <v>1</v>
      </c>
      <c r="AQ18" s="674"/>
      <c r="AR18" s="668"/>
    </row>
    <row r="19" spans="2:44" ht="25.15" customHeight="1">
      <c r="B19" s="802" t="s">
        <v>9</v>
      </c>
      <c r="C19" s="803"/>
      <c r="D19" s="803"/>
      <c r="E19" s="803"/>
      <c r="F19" s="803"/>
      <c r="G19" s="803"/>
      <c r="H19" s="803"/>
      <c r="I19" s="803"/>
      <c r="J19" s="803"/>
      <c r="K19" s="803"/>
      <c r="L19" s="804"/>
      <c r="M19" s="802" t="s">
        <v>10</v>
      </c>
      <c r="N19" s="803"/>
      <c r="O19" s="803"/>
      <c r="P19" s="803"/>
      <c r="Q19" s="803"/>
      <c r="R19" s="803"/>
      <c r="S19" s="803"/>
      <c r="T19" s="803"/>
      <c r="U19" s="803"/>
      <c r="V19" s="803"/>
      <c r="W19" s="803"/>
      <c r="X19" s="804"/>
      <c r="AB19" s="805">
        <v>2022</v>
      </c>
      <c r="AC19" s="805"/>
      <c r="AD19" s="797" t="s">
        <v>139</v>
      </c>
      <c r="AE19" s="797"/>
      <c r="AF19" s="797"/>
      <c r="AG19" s="797"/>
      <c r="AH19" s="797"/>
      <c r="AI19" s="672">
        <v>1</v>
      </c>
      <c r="AJ19" s="672"/>
      <c r="AK19" s="672"/>
      <c r="AL19" s="672">
        <v>1</v>
      </c>
      <c r="AM19" s="672"/>
      <c r="AN19" s="672"/>
      <c r="AO19" s="672"/>
      <c r="AP19" s="671">
        <f t="shared" si="1"/>
        <v>1</v>
      </c>
      <c r="AQ19" s="671"/>
      <c r="AR19" s="669" t="e">
        <f t="shared" ref="AR19" si="3">SUM(AP19:AQ22)/4</f>
        <v>#DIV/0!</v>
      </c>
    </row>
    <row r="20" spans="2:44" ht="45.4" customHeight="1">
      <c r="B20" s="780" t="s">
        <v>434</v>
      </c>
      <c r="C20" s="592"/>
      <c r="D20" s="592"/>
      <c r="E20" s="592"/>
      <c r="F20" s="592"/>
      <c r="G20" s="592"/>
      <c r="H20" s="592"/>
      <c r="I20" s="592"/>
      <c r="J20" s="592"/>
      <c r="K20" s="592"/>
      <c r="L20" s="593"/>
      <c r="M20" s="780"/>
      <c r="N20" s="592"/>
      <c r="O20" s="592"/>
      <c r="P20" s="592"/>
      <c r="Q20" s="592"/>
      <c r="R20" s="592"/>
      <c r="S20" s="592"/>
      <c r="T20" s="592"/>
      <c r="U20" s="592"/>
      <c r="V20" s="592"/>
      <c r="W20" s="592"/>
      <c r="X20" s="593"/>
      <c r="AA20" s="98"/>
      <c r="AB20" s="805"/>
      <c r="AC20" s="805"/>
      <c r="AD20" s="797" t="s">
        <v>140</v>
      </c>
      <c r="AE20" s="797"/>
      <c r="AF20" s="797"/>
      <c r="AG20" s="797"/>
      <c r="AH20" s="797"/>
      <c r="AI20" s="672"/>
      <c r="AJ20" s="672"/>
      <c r="AK20" s="672"/>
      <c r="AL20" s="672"/>
      <c r="AM20" s="672"/>
      <c r="AN20" s="672"/>
      <c r="AO20" s="672"/>
      <c r="AP20" s="671" t="e">
        <f t="shared" si="1"/>
        <v>#DIV/0!</v>
      </c>
      <c r="AQ20" s="671"/>
      <c r="AR20" s="669"/>
    </row>
    <row r="21" spans="2:44" ht="18.95" customHeight="1">
      <c r="B21" s="791" t="s">
        <v>11</v>
      </c>
      <c r="C21" s="792"/>
      <c r="D21" s="792"/>
      <c r="E21" s="792"/>
      <c r="F21" s="792"/>
      <c r="G21" s="792"/>
      <c r="H21" s="792"/>
      <c r="I21" s="792"/>
      <c r="J21" s="792"/>
      <c r="K21" s="792"/>
      <c r="L21" s="792"/>
      <c r="M21" s="792"/>
      <c r="N21" s="792"/>
      <c r="O21" s="792"/>
      <c r="P21" s="792"/>
      <c r="Q21" s="792"/>
      <c r="R21" s="792"/>
      <c r="S21" s="792"/>
      <c r="T21" s="792"/>
      <c r="U21" s="792"/>
      <c r="V21" s="792"/>
      <c r="W21" s="792"/>
      <c r="X21" s="793"/>
      <c r="AB21" s="805"/>
      <c r="AC21" s="805"/>
      <c r="AD21" s="797" t="s">
        <v>141</v>
      </c>
      <c r="AE21" s="797"/>
      <c r="AF21" s="797"/>
      <c r="AG21" s="797"/>
      <c r="AH21" s="797"/>
      <c r="AI21" s="672"/>
      <c r="AJ21" s="672"/>
      <c r="AK21" s="672"/>
      <c r="AL21" s="672"/>
      <c r="AM21" s="672"/>
      <c r="AN21" s="672"/>
      <c r="AO21" s="672"/>
      <c r="AP21" s="671" t="e">
        <f t="shared" si="1"/>
        <v>#DIV/0!</v>
      </c>
      <c r="AQ21" s="671"/>
      <c r="AR21" s="669"/>
    </row>
    <row r="22" spans="2:44" ht="18.95" customHeight="1">
      <c r="B22" s="790" t="s">
        <v>12</v>
      </c>
      <c r="C22" s="790"/>
      <c r="D22" s="180" t="s">
        <v>13</v>
      </c>
      <c r="E22" s="180" t="s">
        <v>14</v>
      </c>
      <c r="F22" s="180" t="s">
        <v>15</v>
      </c>
      <c r="G22" s="796" t="s">
        <v>16</v>
      </c>
      <c r="H22" s="796"/>
      <c r="I22" s="796"/>
      <c r="J22" s="180" t="s">
        <v>17</v>
      </c>
      <c r="K22" s="796" t="s">
        <v>18</v>
      </c>
      <c r="L22" s="796"/>
      <c r="M22" s="796"/>
      <c r="N22" s="180" t="s">
        <v>19</v>
      </c>
      <c r="O22" s="796" t="s">
        <v>20</v>
      </c>
      <c r="P22" s="796"/>
      <c r="Q22" s="796" t="s">
        <v>21</v>
      </c>
      <c r="R22" s="796"/>
      <c r="S22" s="796"/>
      <c r="T22" s="796" t="s">
        <v>22</v>
      </c>
      <c r="U22" s="796"/>
      <c r="V22" s="796" t="s">
        <v>23</v>
      </c>
      <c r="W22" s="796"/>
      <c r="X22" s="180" t="s">
        <v>24</v>
      </c>
      <c r="AB22" s="805"/>
      <c r="AC22" s="805"/>
      <c r="AD22" s="797" t="s">
        <v>142</v>
      </c>
      <c r="AE22" s="797"/>
      <c r="AF22" s="797"/>
      <c r="AG22" s="797"/>
      <c r="AH22" s="797"/>
      <c r="AI22" s="672"/>
      <c r="AJ22" s="672"/>
      <c r="AK22" s="672"/>
      <c r="AL22" s="672"/>
      <c r="AM22" s="672"/>
      <c r="AN22" s="672"/>
      <c r="AO22" s="672"/>
      <c r="AP22" s="671" t="e">
        <f t="shared" si="1"/>
        <v>#DIV/0!</v>
      </c>
      <c r="AQ22" s="671"/>
      <c r="AR22" s="669"/>
    </row>
    <row r="23" spans="2:44" ht="18.95" customHeight="1">
      <c r="B23" s="790" t="s">
        <v>25</v>
      </c>
      <c r="C23" s="790"/>
      <c r="D23" s="682">
        <f>AL15</f>
        <v>6</v>
      </c>
      <c r="E23" s="683"/>
      <c r="F23" s="684"/>
      <c r="G23" s="685">
        <f>AL16</f>
        <v>1</v>
      </c>
      <c r="H23" s="872"/>
      <c r="I23" s="872"/>
      <c r="J23" s="872"/>
      <c r="K23" s="872"/>
      <c r="L23" s="872"/>
      <c r="M23" s="873"/>
      <c r="N23" s="682">
        <f>AL17</f>
        <v>0</v>
      </c>
      <c r="O23" s="683"/>
      <c r="P23" s="683"/>
      <c r="Q23" s="683"/>
      <c r="R23" s="683"/>
      <c r="S23" s="684"/>
      <c r="T23" s="685">
        <f>AL18</f>
        <v>2</v>
      </c>
      <c r="U23" s="643"/>
      <c r="V23" s="643"/>
      <c r="W23" s="643"/>
      <c r="X23" s="608"/>
      <c r="Z23" s="52"/>
      <c r="AA23" s="52"/>
    </row>
    <row r="24" spans="2:44" ht="18.95" customHeight="1">
      <c r="B24" s="790" t="s">
        <v>26</v>
      </c>
      <c r="C24" s="790"/>
      <c r="D24" s="682">
        <f>AI15</f>
        <v>6</v>
      </c>
      <c r="E24" s="683"/>
      <c r="F24" s="684"/>
      <c r="G24" s="685">
        <f>AI16</f>
        <v>3</v>
      </c>
      <c r="H24" s="643"/>
      <c r="I24" s="643"/>
      <c r="J24" s="643"/>
      <c r="K24" s="643"/>
      <c r="L24" s="643"/>
      <c r="M24" s="608"/>
      <c r="N24" s="682">
        <f>AI17</f>
        <v>0</v>
      </c>
      <c r="O24" s="683"/>
      <c r="P24" s="683"/>
      <c r="Q24" s="683"/>
      <c r="R24" s="683"/>
      <c r="S24" s="684"/>
      <c r="T24" s="685">
        <f>AI18</f>
        <v>2</v>
      </c>
      <c r="U24" s="643"/>
      <c r="V24" s="643"/>
      <c r="W24" s="643"/>
      <c r="X24" s="608"/>
      <c r="Y24" s="97"/>
    </row>
    <row r="25" spans="2:44" ht="19.7" customHeight="1">
      <c r="B25" s="791" t="s">
        <v>47</v>
      </c>
      <c r="C25" s="792"/>
      <c r="D25" s="792"/>
      <c r="E25" s="792"/>
      <c r="F25" s="792"/>
      <c r="G25" s="792"/>
      <c r="H25" s="792"/>
      <c r="I25" s="792"/>
      <c r="J25" s="792"/>
      <c r="K25" s="792"/>
      <c r="L25" s="792"/>
      <c r="M25" s="792"/>
      <c r="N25" s="792"/>
      <c r="O25" s="792"/>
      <c r="P25" s="792"/>
      <c r="Q25" s="792"/>
      <c r="R25" s="792"/>
      <c r="S25" s="792"/>
      <c r="T25" s="792"/>
      <c r="U25" s="792"/>
      <c r="V25" s="792"/>
      <c r="W25" s="792"/>
      <c r="X25" s="793"/>
    </row>
    <row r="26" spans="2:44" ht="25.5">
      <c r="B26" s="180" t="s">
        <v>27</v>
      </c>
      <c r="C26" s="180" t="s">
        <v>28</v>
      </c>
      <c r="D26" s="180" t="s">
        <v>29</v>
      </c>
      <c r="E26" s="180" t="s">
        <v>30</v>
      </c>
      <c r="F26" s="174"/>
      <c r="G26" s="174"/>
      <c r="H26" s="767"/>
      <c r="I26" s="767"/>
      <c r="J26" s="767"/>
      <c r="K26" s="767"/>
      <c r="L26" s="767"/>
      <c r="M26" s="767"/>
      <c r="N26" s="767"/>
      <c r="O26" s="767"/>
      <c r="P26" s="767"/>
      <c r="Q26" s="767"/>
      <c r="R26" s="767"/>
      <c r="S26" s="795"/>
      <c r="T26" s="795"/>
      <c r="U26" s="795"/>
      <c r="V26" s="795"/>
      <c r="W26" s="795"/>
      <c r="X26" s="768"/>
    </row>
    <row r="27" spans="2:44" ht="17.649999999999999" customHeight="1">
      <c r="B27" s="181" t="s">
        <v>31</v>
      </c>
      <c r="C27" s="686">
        <f>IF(ISERROR($D$23/$D$24),0,$D$23/$D$24)</f>
        <v>1</v>
      </c>
      <c r="D27" s="686">
        <f>$E$18</f>
        <v>0.25</v>
      </c>
      <c r="E27" s="171">
        <f>$O$14</f>
        <v>1</v>
      </c>
      <c r="H27" s="794"/>
      <c r="I27" s="794"/>
      <c r="J27" s="761"/>
      <c r="K27" s="761"/>
      <c r="L27" s="104"/>
      <c r="M27" s="104"/>
      <c r="N27" s="794"/>
      <c r="O27" s="794"/>
      <c r="P27" s="794"/>
      <c r="Q27" s="794"/>
      <c r="R27" s="794"/>
      <c r="S27" s="786"/>
      <c r="T27" s="786"/>
      <c r="U27" s="786"/>
      <c r="V27" s="786"/>
      <c r="W27" s="786"/>
      <c r="X27" s="787"/>
    </row>
    <row r="28" spans="2:44" ht="17.649999999999999" customHeight="1">
      <c r="B28" s="181" t="s">
        <v>32</v>
      </c>
      <c r="C28" s="687"/>
      <c r="D28" s="687"/>
      <c r="E28" s="171">
        <f t="shared" ref="E28:E37" si="4">$O$14</f>
        <v>1</v>
      </c>
      <c r="H28" s="761"/>
      <c r="I28" s="761"/>
      <c r="J28" s="761"/>
      <c r="K28" s="761"/>
      <c r="L28" s="12"/>
      <c r="M28" s="104"/>
      <c r="N28" s="761"/>
      <c r="O28" s="761"/>
      <c r="P28" s="761"/>
      <c r="Q28" s="761"/>
      <c r="R28" s="761"/>
      <c r="S28" s="786"/>
      <c r="T28" s="786"/>
      <c r="U28" s="786"/>
      <c r="V28" s="786"/>
      <c r="W28" s="786"/>
      <c r="X28" s="787"/>
    </row>
    <row r="29" spans="2:44" ht="17.649999999999999" customHeight="1">
      <c r="B29" s="181" t="s">
        <v>33</v>
      </c>
      <c r="C29" s="688"/>
      <c r="D29" s="688"/>
      <c r="E29" s="171">
        <f t="shared" si="4"/>
        <v>1</v>
      </c>
      <c r="H29" s="761"/>
      <c r="I29" s="761"/>
      <c r="J29" s="761"/>
      <c r="K29" s="761"/>
      <c r="L29" s="12"/>
      <c r="M29" s="104"/>
      <c r="N29" s="761"/>
      <c r="O29" s="761"/>
      <c r="P29" s="761"/>
      <c r="Q29" s="761"/>
      <c r="R29" s="761"/>
      <c r="S29" s="786"/>
      <c r="T29" s="786"/>
      <c r="U29" s="786"/>
      <c r="V29" s="786"/>
      <c r="W29" s="786"/>
      <c r="X29" s="787"/>
    </row>
    <row r="30" spans="2:44" ht="17.649999999999999" customHeight="1">
      <c r="B30" s="181" t="s">
        <v>34</v>
      </c>
      <c r="C30" s="686">
        <f>IF(ISERROR($G$23/$G$24),0,$G$23/$G$24)</f>
        <v>0.33333333333333331</v>
      </c>
      <c r="D30" s="686">
        <f t="shared" ref="D30:D36" si="5">$E$18</f>
        <v>0.25</v>
      </c>
      <c r="E30" s="171">
        <f t="shared" si="4"/>
        <v>1</v>
      </c>
      <c r="H30" s="761"/>
      <c r="I30" s="761"/>
      <c r="J30" s="761"/>
      <c r="K30" s="761"/>
      <c r="L30" s="12"/>
      <c r="M30" s="104"/>
      <c r="N30" s="761"/>
      <c r="O30" s="761"/>
      <c r="P30" s="761"/>
      <c r="Q30" s="761"/>
      <c r="R30" s="761"/>
      <c r="S30" s="786"/>
      <c r="T30" s="786"/>
      <c r="U30" s="786"/>
      <c r="V30" s="786"/>
      <c r="W30" s="786"/>
      <c r="X30" s="787"/>
    </row>
    <row r="31" spans="2:44" ht="17.649999999999999" customHeight="1">
      <c r="B31" s="181" t="s">
        <v>35</v>
      </c>
      <c r="C31" s="687"/>
      <c r="D31" s="687"/>
      <c r="E31" s="171">
        <f t="shared" si="4"/>
        <v>1</v>
      </c>
      <c r="H31" s="761"/>
      <c r="I31" s="761"/>
      <c r="J31" s="761"/>
      <c r="K31" s="761"/>
      <c r="L31" s="12"/>
      <c r="M31" s="104"/>
      <c r="N31" s="761"/>
      <c r="O31" s="761"/>
      <c r="P31" s="761"/>
      <c r="Q31" s="761"/>
      <c r="R31" s="761"/>
      <c r="S31" s="786"/>
      <c r="T31" s="786"/>
      <c r="U31" s="786"/>
      <c r="V31" s="786"/>
      <c r="W31" s="786"/>
      <c r="X31" s="787"/>
    </row>
    <row r="32" spans="2:44" ht="17.649999999999999" customHeight="1">
      <c r="B32" s="181" t="s">
        <v>36</v>
      </c>
      <c r="C32" s="688"/>
      <c r="D32" s="688"/>
      <c r="E32" s="171">
        <f t="shared" si="4"/>
        <v>1</v>
      </c>
      <c r="H32" s="761"/>
      <c r="I32" s="761"/>
      <c r="J32" s="761"/>
      <c r="K32" s="761"/>
      <c r="L32" s="12"/>
      <c r="M32" s="104"/>
      <c r="N32" s="761"/>
      <c r="O32" s="761"/>
      <c r="P32" s="761"/>
      <c r="Q32" s="761"/>
      <c r="R32" s="761"/>
      <c r="S32" s="786"/>
      <c r="T32" s="786"/>
      <c r="U32" s="786"/>
      <c r="V32" s="786"/>
      <c r="W32" s="786"/>
      <c r="X32" s="787"/>
    </row>
    <row r="33" spans="2:27" ht="17.649999999999999" customHeight="1">
      <c r="B33" s="181" t="s">
        <v>37</v>
      </c>
      <c r="C33" s="686">
        <f>IF(ISERROR($N$23/$N$24),0,$N$23/$N$24)</f>
        <v>0</v>
      </c>
      <c r="D33" s="686">
        <f t="shared" si="5"/>
        <v>0.25</v>
      </c>
      <c r="E33" s="171">
        <f t="shared" si="4"/>
        <v>1</v>
      </c>
      <c r="H33" s="761"/>
      <c r="I33" s="761"/>
      <c r="J33" s="761"/>
      <c r="K33" s="761"/>
      <c r="L33" s="12"/>
      <c r="M33" s="104"/>
      <c r="N33" s="761"/>
      <c r="O33" s="761"/>
      <c r="P33" s="761"/>
      <c r="Q33" s="761"/>
      <c r="R33" s="761"/>
      <c r="S33" s="786"/>
      <c r="T33" s="786"/>
      <c r="U33" s="786"/>
      <c r="V33" s="786"/>
      <c r="W33" s="786"/>
      <c r="X33" s="787"/>
    </row>
    <row r="34" spans="2:27" ht="17.649999999999999" customHeight="1">
      <c r="B34" s="181" t="s">
        <v>38</v>
      </c>
      <c r="C34" s="687"/>
      <c r="D34" s="687"/>
      <c r="E34" s="171">
        <f t="shared" si="4"/>
        <v>1</v>
      </c>
      <c r="H34" s="761"/>
      <c r="I34" s="761"/>
      <c r="J34" s="761"/>
      <c r="K34" s="761"/>
      <c r="L34" s="12"/>
      <c r="M34" s="104"/>
      <c r="N34" s="761"/>
      <c r="O34" s="761"/>
      <c r="P34" s="761"/>
      <c r="Q34" s="761"/>
      <c r="R34" s="761"/>
      <c r="S34" s="786"/>
      <c r="T34" s="786"/>
      <c r="U34" s="786"/>
      <c r="V34" s="786"/>
      <c r="W34" s="786"/>
      <c r="X34" s="787"/>
    </row>
    <row r="35" spans="2:27" ht="17.649999999999999" customHeight="1">
      <c r="B35" s="181" t="s">
        <v>39</v>
      </c>
      <c r="C35" s="688"/>
      <c r="D35" s="688"/>
      <c r="E35" s="171">
        <f t="shared" si="4"/>
        <v>1</v>
      </c>
      <c r="H35" s="761"/>
      <c r="I35" s="761"/>
      <c r="J35" s="761"/>
      <c r="K35" s="761"/>
      <c r="L35" s="12"/>
      <c r="M35" s="104"/>
      <c r="N35" s="761"/>
      <c r="O35" s="761"/>
      <c r="P35" s="761"/>
      <c r="Q35" s="761"/>
      <c r="R35" s="761"/>
      <c r="S35" s="786"/>
      <c r="T35" s="786"/>
      <c r="U35" s="786"/>
      <c r="V35" s="786"/>
      <c r="W35" s="786"/>
      <c r="X35" s="787"/>
    </row>
    <row r="36" spans="2:27" ht="17.649999999999999" customHeight="1">
      <c r="B36" s="181" t="s">
        <v>40</v>
      </c>
      <c r="C36" s="686">
        <f>IF(ISERROR($T$23/$T$24),0,$T$23/$T$24)</f>
        <v>1</v>
      </c>
      <c r="D36" s="686">
        <f t="shared" si="5"/>
        <v>0.25</v>
      </c>
      <c r="E36" s="171">
        <f t="shared" si="4"/>
        <v>1</v>
      </c>
      <c r="H36" s="761"/>
      <c r="I36" s="761"/>
      <c r="J36" s="761"/>
      <c r="K36" s="761"/>
      <c r="L36" s="12"/>
      <c r="M36" s="104"/>
      <c r="N36" s="761"/>
      <c r="O36" s="761"/>
      <c r="P36" s="761"/>
      <c r="Q36" s="761"/>
      <c r="R36" s="761"/>
      <c r="S36" s="786"/>
      <c r="T36" s="786"/>
      <c r="U36" s="786"/>
      <c r="V36" s="786"/>
      <c r="W36" s="786"/>
      <c r="X36" s="787"/>
    </row>
    <row r="37" spans="2:27" ht="17.649999999999999" customHeight="1">
      <c r="B37" s="181" t="s">
        <v>41</v>
      </c>
      <c r="C37" s="687"/>
      <c r="D37" s="687"/>
      <c r="E37" s="171">
        <f t="shared" si="4"/>
        <v>1</v>
      </c>
      <c r="H37" s="761"/>
      <c r="I37" s="761"/>
      <c r="J37" s="761"/>
      <c r="K37" s="761"/>
      <c r="L37" s="12"/>
      <c r="M37" s="104"/>
      <c r="N37" s="761"/>
      <c r="O37" s="761"/>
      <c r="P37" s="761"/>
      <c r="Q37" s="761"/>
      <c r="R37" s="761"/>
      <c r="S37" s="786"/>
      <c r="T37" s="786"/>
      <c r="U37" s="786"/>
      <c r="V37" s="786"/>
      <c r="W37" s="786"/>
      <c r="X37" s="787"/>
    </row>
    <row r="38" spans="2:27" ht="17.649999999999999" customHeight="1">
      <c r="B38" s="181" t="s">
        <v>42</v>
      </c>
      <c r="C38" s="688"/>
      <c r="D38" s="688"/>
      <c r="E38" s="171">
        <v>0</v>
      </c>
      <c r="F38" s="176"/>
      <c r="G38" s="176"/>
      <c r="H38" s="775"/>
      <c r="I38" s="775"/>
      <c r="J38" s="775"/>
      <c r="K38" s="775"/>
      <c r="L38" s="7"/>
      <c r="M38" s="106"/>
      <c r="N38" s="775"/>
      <c r="O38" s="775"/>
      <c r="P38" s="775"/>
      <c r="Q38" s="775"/>
      <c r="R38" s="775"/>
      <c r="S38" s="788"/>
      <c r="T38" s="788"/>
      <c r="U38" s="788"/>
      <c r="V38" s="788"/>
      <c r="W38" s="788"/>
      <c r="X38" s="789"/>
    </row>
    <row r="39" spans="2:27" ht="8.4499999999999993" customHeight="1">
      <c r="B39" s="173"/>
      <c r="C39" s="174"/>
      <c r="D39" s="174"/>
      <c r="E39" s="174"/>
      <c r="F39" s="174"/>
      <c r="G39" s="174"/>
      <c r="H39" s="174"/>
      <c r="I39" s="174"/>
      <c r="J39" s="174"/>
      <c r="K39" s="174"/>
      <c r="L39" s="174"/>
      <c r="M39" s="174"/>
      <c r="N39" s="174"/>
      <c r="O39" s="174"/>
      <c r="P39" s="174"/>
      <c r="Q39" s="174"/>
      <c r="R39" s="174"/>
      <c r="S39" s="174"/>
      <c r="T39" s="174"/>
      <c r="U39" s="174"/>
      <c r="V39" s="174"/>
      <c r="W39" s="174"/>
      <c r="X39" s="175"/>
    </row>
    <row r="40" spans="2:27" ht="15.75" customHeight="1">
      <c r="B40" s="762" t="s">
        <v>50</v>
      </c>
      <c r="C40" s="763"/>
      <c r="D40" s="763"/>
      <c r="E40" s="763"/>
      <c r="F40" s="763"/>
      <c r="G40" s="763"/>
      <c r="H40" s="763"/>
      <c r="I40" s="763"/>
      <c r="J40" s="763"/>
      <c r="K40" s="763"/>
      <c r="L40" s="763"/>
      <c r="M40" s="763"/>
      <c r="N40" s="763"/>
      <c r="O40" s="763"/>
      <c r="P40" s="763"/>
      <c r="Q40" s="763"/>
      <c r="R40" s="763"/>
      <c r="S40" s="763"/>
      <c r="T40" s="763"/>
      <c r="U40" s="763"/>
      <c r="V40" s="763"/>
      <c r="W40" s="763"/>
      <c r="X40" s="764"/>
    </row>
    <row r="41" spans="2:27" ht="103.5" customHeight="1">
      <c r="B41" s="765" t="s">
        <v>459</v>
      </c>
      <c r="C41" s="765"/>
      <c r="D41" s="765"/>
      <c r="E41" s="765"/>
      <c r="F41" s="765"/>
      <c r="G41" s="765"/>
      <c r="H41" s="765"/>
      <c r="I41" s="765"/>
      <c r="J41" s="765"/>
      <c r="K41" s="765"/>
      <c r="L41" s="765"/>
      <c r="M41" s="765"/>
      <c r="N41" s="765"/>
      <c r="O41" s="765"/>
      <c r="P41" s="765"/>
      <c r="Q41" s="765"/>
      <c r="R41" s="765"/>
      <c r="S41" s="765"/>
      <c r="T41" s="765"/>
      <c r="U41" s="765"/>
      <c r="V41" s="765"/>
      <c r="W41" s="765"/>
      <c r="X41" s="765"/>
      <c r="Y41" s="109"/>
      <c r="Z41" s="110"/>
      <c r="AA41" s="110"/>
    </row>
    <row r="42" spans="2:27" ht="10.5" customHeight="1">
      <c r="B42" s="766"/>
      <c r="C42" s="767"/>
      <c r="D42" s="767"/>
      <c r="E42" s="767"/>
      <c r="F42" s="767"/>
      <c r="G42" s="767"/>
      <c r="H42" s="767"/>
      <c r="I42" s="767"/>
      <c r="J42" s="767"/>
      <c r="K42" s="767"/>
      <c r="L42" s="767"/>
      <c r="M42" s="767"/>
      <c r="N42" s="767"/>
      <c r="O42" s="767"/>
      <c r="P42" s="767"/>
      <c r="Q42" s="767"/>
      <c r="R42" s="767"/>
      <c r="S42" s="767"/>
      <c r="T42" s="767"/>
      <c r="U42" s="767"/>
      <c r="V42" s="767"/>
      <c r="W42" s="767"/>
      <c r="X42" s="768"/>
      <c r="Y42" s="111"/>
      <c r="Z42" s="57"/>
      <c r="AA42" s="58"/>
    </row>
    <row r="43" spans="2:27" ht="18" customHeight="1">
      <c r="B43" s="769" t="s">
        <v>43</v>
      </c>
      <c r="C43" s="770"/>
      <c r="D43" s="770"/>
      <c r="E43" s="770"/>
      <c r="F43" s="770"/>
      <c r="G43" s="770"/>
      <c r="H43" s="770"/>
      <c r="I43" s="770"/>
      <c r="J43" s="770"/>
      <c r="K43" s="770"/>
      <c r="L43" s="770"/>
      <c r="M43" s="770"/>
      <c r="N43" s="770"/>
      <c r="O43" s="770"/>
      <c r="P43" s="770"/>
      <c r="Q43" s="770"/>
      <c r="R43" s="770"/>
      <c r="S43" s="770"/>
      <c r="T43" s="770"/>
      <c r="U43" s="770"/>
      <c r="V43" s="770"/>
      <c r="W43" s="770"/>
      <c r="X43" s="771"/>
      <c r="Y43" s="111"/>
      <c r="Z43" s="57"/>
      <c r="AA43" s="58"/>
    </row>
    <row r="44" spans="2:27" ht="32.25" customHeight="1">
      <c r="B44" s="772" t="s">
        <v>460</v>
      </c>
      <c r="C44" s="773"/>
      <c r="D44" s="773"/>
      <c r="E44" s="773"/>
      <c r="F44" s="773"/>
      <c r="G44" s="773"/>
      <c r="H44" s="773"/>
      <c r="I44" s="773"/>
      <c r="J44" s="773"/>
      <c r="K44" s="773"/>
      <c r="L44" s="773"/>
      <c r="M44" s="773"/>
      <c r="N44" s="773"/>
      <c r="O44" s="773"/>
      <c r="P44" s="773"/>
      <c r="Q44" s="773"/>
      <c r="R44" s="773"/>
      <c r="S44" s="773"/>
      <c r="T44" s="773"/>
      <c r="U44" s="773"/>
      <c r="V44" s="773"/>
      <c r="W44" s="773"/>
      <c r="X44" s="774"/>
      <c r="Y44" s="111"/>
      <c r="Z44" s="57"/>
      <c r="AA44" s="58"/>
    </row>
    <row r="45" spans="2:27" ht="8.4499999999999993" customHeight="1">
      <c r="B45" s="173"/>
      <c r="C45" s="174"/>
      <c r="D45" s="174"/>
      <c r="E45" s="174"/>
      <c r="F45" s="174"/>
      <c r="G45" s="767"/>
      <c r="H45" s="767"/>
      <c r="I45" s="767"/>
      <c r="J45" s="767"/>
      <c r="K45" s="767"/>
      <c r="L45" s="767"/>
      <c r="M45" s="174"/>
      <c r="N45" s="174"/>
      <c r="O45" s="174"/>
      <c r="P45" s="174"/>
      <c r="Q45" s="174"/>
      <c r="R45" s="174"/>
      <c r="S45" s="174"/>
      <c r="T45" s="174"/>
      <c r="U45" s="174"/>
      <c r="V45" s="174"/>
      <c r="W45" s="174"/>
      <c r="X45" s="175"/>
      <c r="Y45" s="111"/>
      <c r="Z45" s="57"/>
      <c r="AA45" s="58"/>
    </row>
    <row r="46" spans="2:27" ht="12.75">
      <c r="B46" s="776" t="s">
        <v>44</v>
      </c>
      <c r="C46" s="777"/>
      <c r="D46" s="777"/>
      <c r="E46" s="777"/>
      <c r="F46" s="777"/>
      <c r="G46" s="777"/>
      <c r="H46" s="777"/>
      <c r="J46" s="112" t="s">
        <v>45</v>
      </c>
      <c r="L46" s="941" t="s">
        <v>199</v>
      </c>
      <c r="M46" s="942"/>
      <c r="O46" s="104" t="s">
        <v>46</v>
      </c>
      <c r="Q46" s="780"/>
      <c r="R46" s="593"/>
      <c r="X46" s="178"/>
      <c r="Y46" s="111"/>
      <c r="Z46" s="57"/>
      <c r="AA46" s="58"/>
    </row>
    <row r="47" spans="2:27" ht="8.4499999999999993" customHeight="1">
      <c r="B47" s="114"/>
      <c r="I47" s="781"/>
      <c r="J47" s="781"/>
      <c r="K47" s="781"/>
      <c r="L47" s="781"/>
      <c r="M47" s="781"/>
      <c r="N47" s="781"/>
      <c r="O47" s="781"/>
      <c r="P47" s="781"/>
      <c r="Q47" s="781"/>
      <c r="R47" s="781"/>
      <c r="S47" s="781"/>
      <c r="T47" s="781"/>
      <c r="U47" s="781"/>
      <c r="V47" s="781"/>
      <c r="W47" s="781"/>
      <c r="X47" s="782"/>
      <c r="Y47" s="111"/>
      <c r="Z47" s="57"/>
      <c r="AA47" s="58"/>
    </row>
    <row r="48" spans="2:27" ht="35.25" customHeight="1">
      <c r="B48" s="783" t="s">
        <v>57</v>
      </c>
      <c r="C48" s="784"/>
      <c r="D48" s="784"/>
      <c r="E48" s="784"/>
      <c r="F48" s="784"/>
      <c r="G48" s="784"/>
      <c r="H48" s="784"/>
      <c r="I48" s="784"/>
      <c r="J48" s="784"/>
      <c r="K48" s="784"/>
      <c r="L48" s="784"/>
      <c r="M48" s="784"/>
      <c r="N48" s="784"/>
      <c r="O48" s="784"/>
      <c r="P48" s="784"/>
      <c r="Q48" s="784"/>
      <c r="R48" s="784"/>
      <c r="S48" s="784"/>
      <c r="T48" s="784"/>
      <c r="U48" s="784"/>
      <c r="V48" s="784"/>
      <c r="W48" s="784"/>
      <c r="X48" s="785"/>
      <c r="Y48" s="111"/>
      <c r="Z48" s="57"/>
      <c r="AA48" s="58"/>
    </row>
    <row r="49" spans="2:27" ht="8.4499999999999993" customHeight="1">
      <c r="B49" s="115"/>
      <c r="C49" s="176"/>
      <c r="D49" s="176"/>
      <c r="E49" s="176"/>
      <c r="F49" s="176"/>
      <c r="G49" s="182"/>
      <c r="H49" s="176"/>
      <c r="I49" s="16"/>
      <c r="J49" s="35"/>
      <c r="K49" s="7"/>
      <c r="L49" s="176"/>
      <c r="M49" s="176"/>
      <c r="N49" s="176"/>
      <c r="O49" s="176"/>
      <c r="P49" s="176"/>
      <c r="Q49" s="176"/>
      <c r="R49" s="176"/>
      <c r="S49" s="176"/>
      <c r="T49" s="176"/>
      <c r="U49" s="176"/>
      <c r="V49" s="176"/>
      <c r="W49" s="176"/>
      <c r="X49" s="179"/>
      <c r="Y49" s="111"/>
      <c r="Z49" s="57"/>
      <c r="AA49" s="58"/>
    </row>
    <row r="50" spans="2:27" ht="13.5" customHeight="1">
      <c r="G50" s="761"/>
      <c r="H50" s="761"/>
      <c r="I50" s="761"/>
      <c r="J50" s="761"/>
      <c r="K50" s="761"/>
      <c r="L50" s="761"/>
      <c r="M50" s="761"/>
      <c r="N50" s="761"/>
      <c r="O50" s="761"/>
      <c r="P50" s="761"/>
      <c r="Q50" s="761"/>
      <c r="R50" s="761"/>
      <c r="S50" s="761"/>
      <c r="T50" s="761"/>
      <c r="U50" s="761"/>
      <c r="V50" s="761"/>
      <c r="W50" s="761"/>
      <c r="X50" s="761"/>
      <c r="Y50" s="111"/>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79" firstPageNumber="0" pageOrder="overThenDown" orientation="portrait" r:id="rId1"/>
  <headerFooter alignWithMargins="0"/>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8">
    <tabColor rgb="FF00B050"/>
    <pageSetUpPr fitToPage="1"/>
  </sheetPr>
  <dimension ref="B1:AR50"/>
  <sheetViews>
    <sheetView zoomScale="80" zoomScaleNormal="80" zoomScaleSheetLayoutView="100" workbookViewId="0">
      <selection activeCell="AI29" sqref="AI29"/>
    </sheetView>
  </sheetViews>
  <sheetFormatPr baseColWidth="10" defaultColWidth="4.625" defaultRowHeight="13.5" customHeight="1"/>
  <cols>
    <col min="1" max="1" width="1" style="172" customWidth="1"/>
    <col min="2" max="2" width="9.875" style="172" customWidth="1"/>
    <col min="3" max="3" width="8.5" style="172" customWidth="1"/>
    <col min="4" max="4" width="8.25" style="172" customWidth="1"/>
    <col min="5" max="5" width="8.125" style="172" customWidth="1"/>
    <col min="6" max="6" width="6.625" style="172" customWidth="1"/>
    <col min="7" max="7" width="3.5" style="172" customWidth="1"/>
    <col min="8" max="8" width="2.375" style="172" customWidth="1"/>
    <col min="9" max="9" width="2" style="172" customWidth="1"/>
    <col min="10" max="10" width="7.25" style="172" customWidth="1"/>
    <col min="11" max="11" width="1.75" style="172" customWidth="1"/>
    <col min="12" max="12" width="2.125" style="172" customWidth="1"/>
    <col min="13" max="13" width="2.375" style="172" customWidth="1"/>
    <col min="14" max="14" width="6.125" style="172" customWidth="1"/>
    <col min="15" max="15" width="4.5" style="172" customWidth="1"/>
    <col min="16" max="16" width="2" style="172" customWidth="1"/>
    <col min="17" max="17" width="1.5" style="172" customWidth="1"/>
    <col min="18" max="18" width="3.75" style="172" customWidth="1"/>
    <col min="19" max="19" width="5.375" style="172" customWidth="1"/>
    <col min="20" max="20" width="3.875" style="172" customWidth="1"/>
    <col min="21" max="21" width="4.375" style="172" customWidth="1"/>
    <col min="22" max="22" width="5.875" style="172" customWidth="1"/>
    <col min="23" max="23" width="5.75" style="172" customWidth="1"/>
    <col min="24" max="24" width="6.25" style="172" customWidth="1"/>
    <col min="25" max="25" width="1.375" style="94" customWidth="1"/>
    <col min="26" max="26" width="3.25" style="95" customWidth="1"/>
    <col min="27" max="27" width="3.75" style="95" customWidth="1"/>
    <col min="28" max="43" width="4.625" style="95"/>
    <col min="44" max="44" width="8.875" style="172" customWidth="1"/>
    <col min="45" max="16384" width="4.625" style="172"/>
  </cols>
  <sheetData>
    <row r="1" spans="2:44" ht="20.25" customHeight="1">
      <c r="B1" s="838" t="s">
        <v>72</v>
      </c>
      <c r="C1" s="839"/>
      <c r="D1" s="839"/>
      <c r="E1" s="839"/>
      <c r="F1" s="839"/>
      <c r="G1" s="839"/>
      <c r="H1" s="839"/>
      <c r="I1" s="839"/>
      <c r="J1" s="839"/>
      <c r="K1" s="839"/>
      <c r="L1" s="839"/>
      <c r="M1" s="839"/>
      <c r="N1" s="839"/>
      <c r="O1" s="839"/>
      <c r="P1" s="839"/>
      <c r="Q1" s="839"/>
      <c r="R1" s="839"/>
      <c r="S1" s="839"/>
      <c r="T1" s="840"/>
      <c r="U1" s="841"/>
      <c r="V1" s="842"/>
      <c r="W1" s="842"/>
      <c r="X1" s="843"/>
      <c r="AB1" s="667" t="s">
        <v>447</v>
      </c>
      <c r="AC1" s="667"/>
      <c r="AD1" s="667"/>
      <c r="AE1" s="667"/>
      <c r="AF1" s="667"/>
      <c r="AG1" s="667"/>
      <c r="AH1" s="667"/>
      <c r="AI1" s="667"/>
      <c r="AJ1" s="667"/>
      <c r="AK1" s="667"/>
      <c r="AL1" s="667"/>
      <c r="AM1" s="667"/>
      <c r="AN1" s="667"/>
      <c r="AO1" s="667"/>
      <c r="AP1" s="667"/>
      <c r="AQ1" s="667"/>
      <c r="AR1" s="667"/>
    </row>
    <row r="2" spans="2:44" ht="13.5" customHeight="1">
      <c r="B2" s="850" t="s">
        <v>75</v>
      </c>
      <c r="C2" s="851"/>
      <c r="D2" s="851"/>
      <c r="E2" s="851"/>
      <c r="F2" s="851"/>
      <c r="G2" s="851"/>
      <c r="H2" s="851"/>
      <c r="I2" s="851"/>
      <c r="J2" s="851"/>
      <c r="K2" s="851"/>
      <c r="L2" s="851"/>
      <c r="M2" s="851"/>
      <c r="N2" s="851"/>
      <c r="O2" s="851"/>
      <c r="P2" s="851"/>
      <c r="Q2" s="851"/>
      <c r="R2" s="851"/>
      <c r="S2" s="851"/>
      <c r="T2" s="852"/>
      <c r="U2" s="844"/>
      <c r="V2" s="845"/>
      <c r="W2" s="845"/>
      <c r="X2" s="846"/>
    </row>
    <row r="3" spans="2:44" ht="13.5" customHeight="1">
      <c r="B3" s="853"/>
      <c r="C3" s="854"/>
      <c r="D3" s="854"/>
      <c r="E3" s="854"/>
      <c r="F3" s="854"/>
      <c r="G3" s="854"/>
      <c r="H3" s="854"/>
      <c r="I3" s="854"/>
      <c r="J3" s="854"/>
      <c r="K3" s="854"/>
      <c r="L3" s="854"/>
      <c r="M3" s="854"/>
      <c r="N3" s="854"/>
      <c r="O3" s="854"/>
      <c r="P3" s="854"/>
      <c r="Q3" s="854"/>
      <c r="R3" s="854"/>
      <c r="S3" s="854"/>
      <c r="T3" s="855"/>
      <c r="U3" s="844"/>
      <c r="V3" s="845"/>
      <c r="W3" s="845"/>
      <c r="X3" s="846"/>
      <c r="AB3" s="676" t="s">
        <v>194</v>
      </c>
      <c r="AC3" s="676"/>
      <c r="AD3" s="676"/>
      <c r="AE3" s="676"/>
      <c r="AF3" s="676"/>
      <c r="AG3" s="676"/>
      <c r="AH3" s="676"/>
      <c r="AI3" s="676"/>
      <c r="AJ3" s="676"/>
      <c r="AK3" s="676"/>
      <c r="AL3" s="676"/>
      <c r="AM3" s="676"/>
      <c r="AN3" s="676"/>
      <c r="AO3" s="676"/>
      <c r="AP3" s="676"/>
      <c r="AQ3" s="676"/>
      <c r="AR3" s="676"/>
    </row>
    <row r="4" spans="2:44" ht="13.5" customHeight="1">
      <c r="B4" s="856"/>
      <c r="C4" s="857"/>
      <c r="D4" s="857"/>
      <c r="E4" s="857"/>
      <c r="F4" s="857"/>
      <c r="G4" s="857"/>
      <c r="H4" s="857"/>
      <c r="I4" s="857"/>
      <c r="J4" s="857"/>
      <c r="K4" s="857"/>
      <c r="L4" s="857"/>
      <c r="M4" s="857"/>
      <c r="N4" s="857"/>
      <c r="O4" s="857"/>
      <c r="P4" s="857"/>
      <c r="Q4" s="857"/>
      <c r="R4" s="857"/>
      <c r="S4" s="857"/>
      <c r="T4" s="858"/>
      <c r="U4" s="847"/>
      <c r="V4" s="848"/>
      <c r="W4" s="848"/>
      <c r="X4" s="849"/>
      <c r="AB4" s="676"/>
      <c r="AC4" s="676"/>
      <c r="AD4" s="676"/>
      <c r="AE4" s="676"/>
      <c r="AF4" s="676"/>
      <c r="AG4" s="676"/>
      <c r="AH4" s="676"/>
      <c r="AI4" s="676"/>
      <c r="AJ4" s="676"/>
      <c r="AK4" s="676"/>
      <c r="AL4" s="676"/>
      <c r="AM4" s="676"/>
      <c r="AN4" s="676"/>
      <c r="AO4" s="676"/>
      <c r="AP4" s="676"/>
      <c r="AQ4" s="676"/>
      <c r="AR4" s="676"/>
    </row>
    <row r="5" spans="2:44" s="41" customFormat="1" ht="14.25" customHeight="1">
      <c r="B5" s="170" t="s">
        <v>0</v>
      </c>
      <c r="C5" s="561" t="s">
        <v>126</v>
      </c>
      <c r="D5" s="561"/>
      <c r="E5" s="562" t="s">
        <v>1</v>
      </c>
      <c r="F5" s="562"/>
      <c r="G5" s="562"/>
      <c r="H5" s="561" t="s">
        <v>118</v>
      </c>
      <c r="I5" s="561"/>
      <c r="J5" s="561"/>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825"/>
      <c r="C6" s="825"/>
      <c r="D6" s="825"/>
      <c r="E6" s="825"/>
      <c r="F6" s="825"/>
      <c r="G6" s="825"/>
      <c r="H6" s="825"/>
      <c r="I6" s="825"/>
      <c r="J6" s="825"/>
      <c r="K6" s="825"/>
      <c r="L6" s="825"/>
      <c r="M6" s="825"/>
      <c r="N6" s="825"/>
      <c r="O6" s="825"/>
      <c r="P6" s="825"/>
      <c r="Q6" s="825"/>
      <c r="R6" s="825"/>
      <c r="S6" s="825"/>
      <c r="T6" s="825"/>
      <c r="U6" s="825"/>
      <c r="V6" s="825"/>
      <c r="W6" s="825"/>
      <c r="X6" s="825"/>
      <c r="AB6" s="675"/>
      <c r="AC6" s="675"/>
      <c r="AD6" s="675"/>
      <c r="AE6" s="675"/>
      <c r="AF6" s="675"/>
      <c r="AG6" s="675"/>
      <c r="AH6" s="675"/>
      <c r="AI6" s="675"/>
      <c r="AJ6" s="675"/>
      <c r="AK6" s="675"/>
      <c r="AL6" s="675"/>
      <c r="AM6" s="675"/>
      <c r="AN6" s="675"/>
      <c r="AO6" s="675"/>
      <c r="AP6" s="676"/>
      <c r="AQ6" s="676"/>
      <c r="AR6" s="678"/>
    </row>
    <row r="7" spans="2:44" ht="14.25" customHeight="1">
      <c r="B7" s="826" t="s">
        <v>76</v>
      </c>
      <c r="C7" s="827"/>
      <c r="D7" s="827"/>
      <c r="E7" s="827"/>
      <c r="F7" s="828"/>
      <c r="G7" s="832" t="s">
        <v>77</v>
      </c>
      <c r="H7" s="833"/>
      <c r="I7" s="833"/>
      <c r="J7" s="833"/>
      <c r="K7" s="833"/>
      <c r="L7" s="833"/>
      <c r="M7" s="833"/>
      <c r="N7" s="833"/>
      <c r="O7" s="833"/>
      <c r="P7" s="833"/>
      <c r="Q7" s="833"/>
      <c r="R7" s="833"/>
      <c r="S7" s="833"/>
      <c r="T7" s="833"/>
      <c r="U7" s="833"/>
      <c r="V7" s="833"/>
      <c r="W7" s="833"/>
      <c r="X7" s="834"/>
      <c r="AB7" s="806">
        <v>2019</v>
      </c>
      <c r="AC7" s="806"/>
      <c r="AD7" s="801" t="s">
        <v>127</v>
      </c>
      <c r="AE7" s="801"/>
      <c r="AF7" s="801"/>
      <c r="AG7" s="801"/>
      <c r="AH7" s="801"/>
      <c r="AI7" s="673">
        <v>3</v>
      </c>
      <c r="AJ7" s="673"/>
      <c r="AK7" s="673"/>
      <c r="AL7" s="673">
        <v>3</v>
      </c>
      <c r="AM7" s="673"/>
      <c r="AN7" s="673"/>
      <c r="AO7" s="673"/>
      <c r="AP7" s="674">
        <f t="shared" ref="AP7:AP10" si="0">AL7/AI7</f>
        <v>1</v>
      </c>
      <c r="AQ7" s="674"/>
      <c r="AR7" s="668">
        <f>SUM(AP7:AQ10)/4</f>
        <v>0.91666666666666663</v>
      </c>
    </row>
    <row r="8" spans="2:44" ht="14.25" customHeight="1">
      <c r="B8" s="829"/>
      <c r="C8" s="830"/>
      <c r="D8" s="830"/>
      <c r="E8" s="830"/>
      <c r="F8" s="831"/>
      <c r="G8" s="835"/>
      <c r="H8" s="836"/>
      <c r="I8" s="836"/>
      <c r="J8" s="836"/>
      <c r="K8" s="836"/>
      <c r="L8" s="836"/>
      <c r="M8" s="836"/>
      <c r="N8" s="836"/>
      <c r="O8" s="836"/>
      <c r="P8" s="836"/>
      <c r="Q8" s="836"/>
      <c r="R8" s="836"/>
      <c r="S8" s="836"/>
      <c r="T8" s="836"/>
      <c r="U8" s="836"/>
      <c r="V8" s="836"/>
      <c r="W8" s="836"/>
      <c r="X8" s="837"/>
      <c r="AB8" s="806"/>
      <c r="AC8" s="806"/>
      <c r="AD8" s="801" t="s">
        <v>128</v>
      </c>
      <c r="AE8" s="801"/>
      <c r="AF8" s="801"/>
      <c r="AG8" s="801"/>
      <c r="AH8" s="801"/>
      <c r="AI8" s="673">
        <v>4</v>
      </c>
      <c r="AJ8" s="673"/>
      <c r="AK8" s="673"/>
      <c r="AL8" s="673">
        <v>4</v>
      </c>
      <c r="AM8" s="673"/>
      <c r="AN8" s="673"/>
      <c r="AO8" s="673"/>
      <c r="AP8" s="674">
        <f t="shared" si="0"/>
        <v>1</v>
      </c>
      <c r="AQ8" s="674"/>
      <c r="AR8" s="668"/>
    </row>
    <row r="9" spans="2:44" ht="19.149999999999999" customHeight="1">
      <c r="B9" s="791" t="s">
        <v>49</v>
      </c>
      <c r="C9" s="792"/>
      <c r="D9" s="792"/>
      <c r="E9" s="792"/>
      <c r="F9" s="792"/>
      <c r="G9" s="792"/>
      <c r="H9" s="792"/>
      <c r="I9" s="792"/>
      <c r="J9" s="792"/>
      <c r="K9" s="792"/>
      <c r="L9" s="792"/>
      <c r="M9" s="792"/>
      <c r="N9" s="792"/>
      <c r="O9" s="792"/>
      <c r="P9" s="792"/>
      <c r="Q9" s="792"/>
      <c r="R9" s="792"/>
      <c r="S9" s="792"/>
      <c r="T9" s="792"/>
      <c r="U9" s="792"/>
      <c r="V9" s="792"/>
      <c r="W9" s="792"/>
      <c r="X9" s="793"/>
      <c r="AB9" s="806"/>
      <c r="AC9" s="806"/>
      <c r="AD9" s="801" t="s">
        <v>129</v>
      </c>
      <c r="AE9" s="801"/>
      <c r="AF9" s="801"/>
      <c r="AG9" s="801"/>
      <c r="AH9" s="801"/>
      <c r="AI9" s="673">
        <v>3</v>
      </c>
      <c r="AJ9" s="673"/>
      <c r="AK9" s="673"/>
      <c r="AL9" s="673">
        <v>2</v>
      </c>
      <c r="AM9" s="673"/>
      <c r="AN9" s="673"/>
      <c r="AO9" s="673"/>
      <c r="AP9" s="674">
        <f t="shared" si="0"/>
        <v>0.66666666666666663</v>
      </c>
      <c r="AQ9" s="674"/>
      <c r="AR9" s="668"/>
    </row>
    <row r="10" spans="2:44" ht="15" customHeight="1">
      <c r="B10" s="802" t="s">
        <v>4</v>
      </c>
      <c r="C10" s="803"/>
      <c r="D10" s="803"/>
      <c r="E10" s="803"/>
      <c r="F10" s="803"/>
      <c r="G10" s="803"/>
      <c r="H10" s="803"/>
      <c r="I10" s="803"/>
      <c r="J10" s="803"/>
      <c r="K10" s="803"/>
      <c r="L10" s="803"/>
      <c r="M10" s="803"/>
      <c r="N10" s="803"/>
      <c r="O10" s="803"/>
      <c r="P10" s="803"/>
      <c r="Q10" s="803"/>
      <c r="R10" s="803"/>
      <c r="S10" s="803"/>
      <c r="T10" s="803"/>
      <c r="U10" s="803"/>
      <c r="V10" s="803"/>
      <c r="W10" s="803"/>
      <c r="X10" s="803"/>
      <c r="AB10" s="806"/>
      <c r="AC10" s="806"/>
      <c r="AD10" s="801" t="s">
        <v>130</v>
      </c>
      <c r="AE10" s="801"/>
      <c r="AF10" s="801"/>
      <c r="AG10" s="801"/>
      <c r="AH10" s="801"/>
      <c r="AI10" s="673">
        <v>6</v>
      </c>
      <c r="AJ10" s="673"/>
      <c r="AK10" s="673"/>
      <c r="AL10" s="673">
        <v>6</v>
      </c>
      <c r="AM10" s="673"/>
      <c r="AN10" s="673"/>
      <c r="AO10" s="673"/>
      <c r="AP10" s="674">
        <f t="shared" si="0"/>
        <v>1</v>
      </c>
      <c r="AQ10" s="674"/>
      <c r="AR10" s="668"/>
    </row>
    <row r="11" spans="2:44" ht="38.25" customHeight="1">
      <c r="B11" s="823" t="s">
        <v>435</v>
      </c>
      <c r="C11" s="823"/>
      <c r="D11" s="823"/>
      <c r="E11" s="823"/>
      <c r="F11" s="823"/>
      <c r="G11" s="823"/>
      <c r="H11" s="823"/>
      <c r="I11" s="823"/>
      <c r="J11" s="823"/>
      <c r="K11" s="823"/>
      <c r="L11" s="823"/>
      <c r="M11" s="823"/>
      <c r="N11" s="823"/>
      <c r="O11" s="823"/>
      <c r="P11" s="823"/>
      <c r="Q11" s="823"/>
      <c r="R11" s="823"/>
      <c r="S11" s="823"/>
      <c r="T11" s="823"/>
      <c r="U11" s="823"/>
      <c r="V11" s="823"/>
      <c r="W11" s="823"/>
      <c r="X11" s="823"/>
      <c r="AB11" s="805">
        <v>2020</v>
      </c>
      <c r="AC11" s="805"/>
      <c r="AD11" s="797" t="s">
        <v>131</v>
      </c>
      <c r="AE11" s="797"/>
      <c r="AF11" s="797"/>
      <c r="AG11" s="797"/>
      <c r="AH11" s="797"/>
      <c r="AI11" s="672">
        <v>6</v>
      </c>
      <c r="AJ11" s="672"/>
      <c r="AK11" s="672"/>
      <c r="AL11" s="672">
        <v>1</v>
      </c>
      <c r="AM11" s="672"/>
      <c r="AN11" s="672"/>
      <c r="AO11" s="672"/>
      <c r="AP11" s="671">
        <f>AL11/AI11</f>
        <v>0.16666666666666666</v>
      </c>
      <c r="AQ11" s="671"/>
      <c r="AR11" s="669">
        <f>SUM(AP11:AQ14)/4</f>
        <v>0.45833333333333331</v>
      </c>
    </row>
    <row r="12" spans="2:44" ht="12.75">
      <c r="B12" s="810" t="s">
        <v>56</v>
      </c>
      <c r="C12" s="814"/>
      <c r="D12" s="814"/>
      <c r="E12" s="814"/>
      <c r="F12" s="811"/>
      <c r="G12" s="810" t="s">
        <v>48</v>
      </c>
      <c r="H12" s="814"/>
      <c r="I12" s="814"/>
      <c r="J12" s="811"/>
      <c r="K12" s="810" t="s">
        <v>5</v>
      </c>
      <c r="L12" s="814"/>
      <c r="M12" s="814"/>
      <c r="N12" s="811"/>
      <c r="O12" s="802" t="s">
        <v>6</v>
      </c>
      <c r="P12" s="803"/>
      <c r="Q12" s="803"/>
      <c r="R12" s="803"/>
      <c r="S12" s="803"/>
      <c r="T12" s="803"/>
      <c r="U12" s="803"/>
      <c r="V12" s="803"/>
      <c r="W12" s="803"/>
      <c r="X12" s="804"/>
      <c r="Y12" s="97"/>
      <c r="Z12" s="98"/>
      <c r="AA12" s="98"/>
      <c r="AB12" s="805"/>
      <c r="AC12" s="805"/>
      <c r="AD12" s="797" t="s">
        <v>132</v>
      </c>
      <c r="AE12" s="797"/>
      <c r="AF12" s="797"/>
      <c r="AG12" s="797"/>
      <c r="AH12" s="797"/>
      <c r="AI12" s="672">
        <v>6</v>
      </c>
      <c r="AJ12" s="672"/>
      <c r="AK12" s="672"/>
      <c r="AL12" s="672">
        <v>3</v>
      </c>
      <c r="AM12" s="672"/>
      <c r="AN12" s="672"/>
      <c r="AO12" s="672"/>
      <c r="AP12" s="671">
        <f t="shared" ref="AP12:AP22" si="1">AL12/AI12</f>
        <v>0.5</v>
      </c>
      <c r="AQ12" s="671"/>
      <c r="AR12" s="669"/>
    </row>
    <row r="13" spans="2:44" ht="25.5" customHeight="1">
      <c r="B13" s="812"/>
      <c r="C13" s="815"/>
      <c r="D13" s="815"/>
      <c r="E13" s="815"/>
      <c r="F13" s="813"/>
      <c r="G13" s="812"/>
      <c r="H13" s="815"/>
      <c r="I13" s="815"/>
      <c r="J13" s="813"/>
      <c r="K13" s="812"/>
      <c r="L13" s="815"/>
      <c r="M13" s="815"/>
      <c r="N13" s="813"/>
      <c r="O13" s="802" t="s">
        <v>55</v>
      </c>
      <c r="P13" s="803"/>
      <c r="Q13" s="803"/>
      <c r="R13" s="804"/>
      <c r="S13" s="802" t="s">
        <v>54</v>
      </c>
      <c r="T13" s="803"/>
      <c r="U13" s="804"/>
      <c r="V13" s="802" t="s">
        <v>53</v>
      </c>
      <c r="W13" s="803"/>
      <c r="X13" s="804"/>
      <c r="Y13" s="97"/>
      <c r="Z13" s="98"/>
      <c r="AA13" s="98"/>
      <c r="AB13" s="805"/>
      <c r="AC13" s="805"/>
      <c r="AD13" s="797" t="s">
        <v>133</v>
      </c>
      <c r="AE13" s="797"/>
      <c r="AF13" s="797"/>
      <c r="AG13" s="797"/>
      <c r="AH13" s="797"/>
      <c r="AI13" s="672">
        <v>6</v>
      </c>
      <c r="AJ13" s="672"/>
      <c r="AK13" s="672"/>
      <c r="AL13" s="672">
        <v>4</v>
      </c>
      <c r="AM13" s="672"/>
      <c r="AN13" s="672"/>
      <c r="AO13" s="672"/>
      <c r="AP13" s="671">
        <f t="shared" si="1"/>
        <v>0.66666666666666663</v>
      </c>
      <c r="AQ13" s="671"/>
      <c r="AR13" s="669"/>
    </row>
    <row r="14" spans="2:44" ht="29.25" customHeight="1">
      <c r="B14" s="818" t="s">
        <v>436</v>
      </c>
      <c r="C14" s="818"/>
      <c r="D14" s="818"/>
      <c r="E14" s="818"/>
      <c r="F14" s="818"/>
      <c r="G14" s="711" t="s">
        <v>100</v>
      </c>
      <c r="H14" s="711"/>
      <c r="I14" s="711"/>
      <c r="J14" s="711"/>
      <c r="K14" s="711">
        <v>0.9</v>
      </c>
      <c r="L14" s="711"/>
      <c r="M14" s="711"/>
      <c r="N14" s="711"/>
      <c r="O14" s="820">
        <v>1</v>
      </c>
      <c r="P14" s="821"/>
      <c r="Q14" s="821"/>
      <c r="R14" s="822"/>
      <c r="S14" s="591">
        <v>44561</v>
      </c>
      <c r="T14" s="592"/>
      <c r="U14" s="593"/>
      <c r="V14" s="594">
        <v>2021</v>
      </c>
      <c r="W14" s="594"/>
      <c r="X14" s="594"/>
      <c r="AB14" s="805"/>
      <c r="AC14" s="805"/>
      <c r="AD14" s="797" t="s">
        <v>134</v>
      </c>
      <c r="AE14" s="797"/>
      <c r="AF14" s="797"/>
      <c r="AG14" s="797"/>
      <c r="AH14" s="797"/>
      <c r="AI14" s="672">
        <v>6</v>
      </c>
      <c r="AJ14" s="672"/>
      <c r="AK14" s="672"/>
      <c r="AL14" s="672">
        <v>3</v>
      </c>
      <c r="AM14" s="672"/>
      <c r="AN14" s="672"/>
      <c r="AO14" s="672"/>
      <c r="AP14" s="671">
        <f t="shared" si="1"/>
        <v>0.5</v>
      </c>
      <c r="AQ14" s="671"/>
      <c r="AR14" s="669"/>
    </row>
    <row r="15" spans="2:44" ht="18" customHeight="1">
      <c r="B15" s="791" t="s">
        <v>7</v>
      </c>
      <c r="C15" s="792"/>
      <c r="D15" s="792"/>
      <c r="E15" s="792"/>
      <c r="F15" s="792"/>
      <c r="G15" s="792"/>
      <c r="H15" s="792"/>
      <c r="I15" s="792"/>
      <c r="J15" s="792"/>
      <c r="K15" s="792"/>
      <c r="L15" s="792"/>
      <c r="M15" s="792"/>
      <c r="N15" s="792"/>
      <c r="O15" s="792"/>
      <c r="P15" s="792"/>
      <c r="Q15" s="792"/>
      <c r="R15" s="792"/>
      <c r="S15" s="792"/>
      <c r="T15" s="792"/>
      <c r="U15" s="792"/>
      <c r="V15" s="792"/>
      <c r="W15" s="792"/>
      <c r="X15" s="793"/>
      <c r="Z15" s="95" t="s">
        <v>51</v>
      </c>
      <c r="AB15" s="806">
        <v>2021</v>
      </c>
      <c r="AC15" s="806"/>
      <c r="AD15" s="801" t="s">
        <v>135</v>
      </c>
      <c r="AE15" s="801"/>
      <c r="AF15" s="801"/>
      <c r="AG15" s="801"/>
      <c r="AH15" s="801"/>
      <c r="AI15" s="673">
        <v>2</v>
      </c>
      <c r="AJ15" s="673"/>
      <c r="AK15" s="673"/>
      <c r="AL15" s="673">
        <v>2</v>
      </c>
      <c r="AM15" s="673"/>
      <c r="AN15" s="673"/>
      <c r="AO15" s="673"/>
      <c r="AP15" s="674">
        <f t="shared" si="1"/>
        <v>1</v>
      </c>
      <c r="AQ15" s="674"/>
      <c r="AR15" s="668">
        <f t="shared" ref="AR15" si="2">SUM(AP15:AQ18)/4</f>
        <v>0.91666666666666663</v>
      </c>
    </row>
    <row r="16" spans="2:44" ht="12.75" customHeight="1">
      <c r="B16" s="808" t="s">
        <v>52</v>
      </c>
      <c r="C16" s="810" t="s">
        <v>8</v>
      </c>
      <c r="D16" s="811"/>
      <c r="E16" s="810" t="s">
        <v>115</v>
      </c>
      <c r="F16" s="811"/>
      <c r="G16" s="810" t="s">
        <v>109</v>
      </c>
      <c r="H16" s="814"/>
      <c r="I16" s="814"/>
      <c r="J16" s="814"/>
      <c r="K16" s="814"/>
      <c r="L16" s="811"/>
      <c r="M16" s="816" t="s">
        <v>116</v>
      </c>
      <c r="N16" s="816"/>
      <c r="O16" s="816"/>
      <c r="P16" s="816"/>
      <c r="Q16" s="816"/>
      <c r="R16" s="816"/>
      <c r="S16" s="816"/>
      <c r="T16" s="816"/>
      <c r="U16" s="816"/>
      <c r="V16" s="816"/>
      <c r="W16" s="816"/>
      <c r="X16" s="816"/>
      <c r="AB16" s="806"/>
      <c r="AC16" s="806"/>
      <c r="AD16" s="801" t="s">
        <v>136</v>
      </c>
      <c r="AE16" s="801"/>
      <c r="AF16" s="801"/>
      <c r="AG16" s="801"/>
      <c r="AH16" s="801"/>
      <c r="AI16" s="673">
        <v>5</v>
      </c>
      <c r="AJ16" s="673"/>
      <c r="AK16" s="673"/>
      <c r="AL16" s="673">
        <v>5</v>
      </c>
      <c r="AM16" s="673"/>
      <c r="AN16" s="673"/>
      <c r="AO16" s="673"/>
      <c r="AP16" s="674">
        <f t="shared" si="1"/>
        <v>1</v>
      </c>
      <c r="AQ16" s="674"/>
      <c r="AR16" s="668"/>
    </row>
    <row r="17" spans="2:44" ht="12.75" customHeight="1">
      <c r="B17" s="809"/>
      <c r="C17" s="812"/>
      <c r="D17" s="813"/>
      <c r="E17" s="812"/>
      <c r="F17" s="813"/>
      <c r="G17" s="812"/>
      <c r="H17" s="815"/>
      <c r="I17" s="815"/>
      <c r="J17" s="815"/>
      <c r="K17" s="815"/>
      <c r="L17" s="813"/>
      <c r="M17" s="802" t="s">
        <v>121</v>
      </c>
      <c r="N17" s="803"/>
      <c r="O17" s="803"/>
      <c r="P17" s="803"/>
      <c r="Q17" s="804"/>
      <c r="R17" s="802" t="s">
        <v>122</v>
      </c>
      <c r="S17" s="803"/>
      <c r="T17" s="803"/>
      <c r="U17" s="803"/>
      <c r="V17" s="817" t="s">
        <v>117</v>
      </c>
      <c r="W17" s="817"/>
      <c r="X17" s="817"/>
      <c r="AB17" s="806"/>
      <c r="AC17" s="806"/>
      <c r="AD17" s="801" t="s">
        <v>137</v>
      </c>
      <c r="AE17" s="801"/>
      <c r="AF17" s="801"/>
      <c r="AG17" s="801"/>
      <c r="AH17" s="801"/>
      <c r="AI17" s="673">
        <v>6</v>
      </c>
      <c r="AJ17" s="673"/>
      <c r="AK17" s="673"/>
      <c r="AL17" s="673">
        <v>6</v>
      </c>
      <c r="AM17" s="673"/>
      <c r="AN17" s="673"/>
      <c r="AO17" s="673"/>
      <c r="AP17" s="674">
        <f t="shared" si="1"/>
        <v>1</v>
      </c>
      <c r="AQ17" s="674"/>
      <c r="AR17" s="668"/>
    </row>
    <row r="18" spans="2:44" ht="28.5" customHeight="1">
      <c r="B18" s="177" t="s">
        <v>188</v>
      </c>
      <c r="C18" s="780" t="s">
        <v>112</v>
      </c>
      <c r="D18" s="593"/>
      <c r="E18" s="711">
        <v>0.25</v>
      </c>
      <c r="F18" s="711"/>
      <c r="G18" s="818" t="s">
        <v>433</v>
      </c>
      <c r="H18" s="818"/>
      <c r="I18" s="818"/>
      <c r="J18" s="818"/>
      <c r="K18" s="818"/>
      <c r="L18" s="818"/>
      <c r="M18" s="798" t="s">
        <v>123</v>
      </c>
      <c r="N18" s="798"/>
      <c r="O18" s="798"/>
      <c r="P18" s="798"/>
      <c r="Q18" s="798"/>
      <c r="R18" s="799" t="s">
        <v>124</v>
      </c>
      <c r="S18" s="799"/>
      <c r="T18" s="799"/>
      <c r="U18" s="799"/>
      <c r="V18" s="800" t="s">
        <v>125</v>
      </c>
      <c r="W18" s="800"/>
      <c r="X18" s="800"/>
      <c r="AB18" s="806"/>
      <c r="AC18" s="806"/>
      <c r="AD18" s="801" t="s">
        <v>138</v>
      </c>
      <c r="AE18" s="801"/>
      <c r="AF18" s="801"/>
      <c r="AG18" s="801"/>
      <c r="AH18" s="801"/>
      <c r="AI18" s="673">
        <v>15</v>
      </c>
      <c r="AJ18" s="673"/>
      <c r="AK18" s="673"/>
      <c r="AL18" s="673">
        <v>10</v>
      </c>
      <c r="AM18" s="673"/>
      <c r="AN18" s="673"/>
      <c r="AO18" s="673"/>
      <c r="AP18" s="674">
        <f t="shared" si="1"/>
        <v>0.66666666666666663</v>
      </c>
      <c r="AQ18" s="674"/>
      <c r="AR18" s="668"/>
    </row>
    <row r="19" spans="2:44" ht="25.15" customHeight="1">
      <c r="B19" s="802" t="s">
        <v>9</v>
      </c>
      <c r="C19" s="803"/>
      <c r="D19" s="803"/>
      <c r="E19" s="803"/>
      <c r="F19" s="803"/>
      <c r="G19" s="803"/>
      <c r="H19" s="803"/>
      <c r="I19" s="803"/>
      <c r="J19" s="803"/>
      <c r="K19" s="803"/>
      <c r="L19" s="804"/>
      <c r="M19" s="802" t="s">
        <v>10</v>
      </c>
      <c r="N19" s="803"/>
      <c r="O19" s="803"/>
      <c r="P19" s="803"/>
      <c r="Q19" s="803"/>
      <c r="R19" s="803"/>
      <c r="S19" s="803"/>
      <c r="T19" s="803"/>
      <c r="U19" s="803"/>
      <c r="V19" s="803"/>
      <c r="W19" s="803"/>
      <c r="X19" s="804"/>
      <c r="AB19" s="805">
        <v>2022</v>
      </c>
      <c r="AC19" s="805"/>
      <c r="AD19" s="797" t="s">
        <v>139</v>
      </c>
      <c r="AE19" s="797"/>
      <c r="AF19" s="797"/>
      <c r="AG19" s="797"/>
      <c r="AH19" s="797"/>
      <c r="AI19" s="672">
        <v>4</v>
      </c>
      <c r="AJ19" s="672"/>
      <c r="AK19" s="672"/>
      <c r="AL19" s="672">
        <v>4</v>
      </c>
      <c r="AM19" s="672"/>
      <c r="AN19" s="672"/>
      <c r="AO19" s="672"/>
      <c r="AP19" s="671">
        <f t="shared" si="1"/>
        <v>1</v>
      </c>
      <c r="AQ19" s="671"/>
      <c r="AR19" s="669" t="e">
        <f t="shared" ref="AR19" si="3">SUM(AP19:AQ22)/4</f>
        <v>#DIV/0!</v>
      </c>
    </row>
    <row r="20" spans="2:44" ht="45.4" customHeight="1">
      <c r="B20" s="780" t="s">
        <v>437</v>
      </c>
      <c r="C20" s="592"/>
      <c r="D20" s="592"/>
      <c r="E20" s="592"/>
      <c r="F20" s="592"/>
      <c r="G20" s="592"/>
      <c r="H20" s="592"/>
      <c r="I20" s="592"/>
      <c r="J20" s="592"/>
      <c r="K20" s="592"/>
      <c r="L20" s="593"/>
      <c r="M20" s="780"/>
      <c r="N20" s="592"/>
      <c r="O20" s="592"/>
      <c r="P20" s="592"/>
      <c r="Q20" s="592"/>
      <c r="R20" s="592"/>
      <c r="S20" s="592"/>
      <c r="T20" s="592"/>
      <c r="U20" s="592"/>
      <c r="V20" s="592"/>
      <c r="W20" s="592"/>
      <c r="X20" s="593"/>
      <c r="AA20" s="98"/>
      <c r="AB20" s="805"/>
      <c r="AC20" s="805"/>
      <c r="AD20" s="797" t="s">
        <v>140</v>
      </c>
      <c r="AE20" s="797"/>
      <c r="AF20" s="797"/>
      <c r="AG20" s="797"/>
      <c r="AH20" s="797"/>
      <c r="AI20" s="672"/>
      <c r="AJ20" s="672"/>
      <c r="AK20" s="672"/>
      <c r="AL20" s="672"/>
      <c r="AM20" s="672"/>
      <c r="AN20" s="672"/>
      <c r="AO20" s="672"/>
      <c r="AP20" s="671" t="e">
        <f t="shared" si="1"/>
        <v>#DIV/0!</v>
      </c>
      <c r="AQ20" s="671"/>
      <c r="AR20" s="669"/>
    </row>
    <row r="21" spans="2:44" ht="18.95" customHeight="1">
      <c r="B21" s="791" t="s">
        <v>11</v>
      </c>
      <c r="C21" s="792"/>
      <c r="D21" s="792"/>
      <c r="E21" s="792"/>
      <c r="F21" s="792"/>
      <c r="G21" s="792"/>
      <c r="H21" s="792"/>
      <c r="I21" s="792"/>
      <c r="J21" s="792"/>
      <c r="K21" s="792"/>
      <c r="L21" s="792"/>
      <c r="M21" s="792"/>
      <c r="N21" s="792"/>
      <c r="O21" s="792"/>
      <c r="P21" s="792"/>
      <c r="Q21" s="792"/>
      <c r="R21" s="792"/>
      <c r="S21" s="792"/>
      <c r="T21" s="792"/>
      <c r="U21" s="792"/>
      <c r="V21" s="792"/>
      <c r="W21" s="792"/>
      <c r="X21" s="793"/>
      <c r="AB21" s="805"/>
      <c r="AC21" s="805"/>
      <c r="AD21" s="797" t="s">
        <v>141</v>
      </c>
      <c r="AE21" s="797"/>
      <c r="AF21" s="797"/>
      <c r="AG21" s="797"/>
      <c r="AH21" s="797"/>
      <c r="AI21" s="672"/>
      <c r="AJ21" s="672"/>
      <c r="AK21" s="672"/>
      <c r="AL21" s="672"/>
      <c r="AM21" s="672"/>
      <c r="AN21" s="672"/>
      <c r="AO21" s="672"/>
      <c r="AP21" s="671" t="e">
        <f t="shared" si="1"/>
        <v>#DIV/0!</v>
      </c>
      <c r="AQ21" s="671"/>
      <c r="AR21" s="669"/>
    </row>
    <row r="22" spans="2:44" ht="18.95" customHeight="1">
      <c r="B22" s="790" t="s">
        <v>12</v>
      </c>
      <c r="C22" s="790"/>
      <c r="D22" s="180" t="s">
        <v>13</v>
      </c>
      <c r="E22" s="180" t="s">
        <v>14</v>
      </c>
      <c r="F22" s="180" t="s">
        <v>15</v>
      </c>
      <c r="G22" s="796" t="s">
        <v>16</v>
      </c>
      <c r="H22" s="796"/>
      <c r="I22" s="796"/>
      <c r="J22" s="180" t="s">
        <v>17</v>
      </c>
      <c r="K22" s="796" t="s">
        <v>18</v>
      </c>
      <c r="L22" s="796"/>
      <c r="M22" s="796"/>
      <c r="N22" s="180" t="s">
        <v>19</v>
      </c>
      <c r="O22" s="796" t="s">
        <v>20</v>
      </c>
      <c r="P22" s="796"/>
      <c r="Q22" s="796" t="s">
        <v>21</v>
      </c>
      <c r="R22" s="796"/>
      <c r="S22" s="796"/>
      <c r="T22" s="796" t="s">
        <v>22</v>
      </c>
      <c r="U22" s="796"/>
      <c r="V22" s="796" t="s">
        <v>23</v>
      </c>
      <c r="W22" s="796"/>
      <c r="X22" s="180" t="s">
        <v>24</v>
      </c>
      <c r="AB22" s="805"/>
      <c r="AC22" s="805"/>
      <c r="AD22" s="797" t="s">
        <v>142</v>
      </c>
      <c r="AE22" s="797"/>
      <c r="AF22" s="797"/>
      <c r="AG22" s="797"/>
      <c r="AH22" s="797"/>
      <c r="AI22" s="672"/>
      <c r="AJ22" s="672"/>
      <c r="AK22" s="672"/>
      <c r="AL22" s="672"/>
      <c r="AM22" s="672"/>
      <c r="AN22" s="672"/>
      <c r="AO22" s="672"/>
      <c r="AP22" s="671" t="e">
        <f t="shared" si="1"/>
        <v>#DIV/0!</v>
      </c>
      <c r="AQ22" s="671"/>
      <c r="AR22" s="669"/>
    </row>
    <row r="23" spans="2:44" ht="18.95" customHeight="1">
      <c r="B23" s="790" t="s">
        <v>25</v>
      </c>
      <c r="C23" s="790"/>
      <c r="D23" s="682">
        <f>AL15</f>
        <v>2</v>
      </c>
      <c r="E23" s="592"/>
      <c r="F23" s="593"/>
      <c r="G23" s="682">
        <f>AL16</f>
        <v>5</v>
      </c>
      <c r="H23" s="715"/>
      <c r="I23" s="715"/>
      <c r="J23" s="715"/>
      <c r="K23" s="715"/>
      <c r="L23" s="715"/>
      <c r="M23" s="716"/>
      <c r="N23" s="682">
        <f>AL17</f>
        <v>6</v>
      </c>
      <c r="O23" s="592"/>
      <c r="P23" s="592"/>
      <c r="Q23" s="592"/>
      <c r="R23" s="592"/>
      <c r="S23" s="593"/>
      <c r="T23" s="682">
        <f>AL18</f>
        <v>10</v>
      </c>
      <c r="U23" s="592"/>
      <c r="V23" s="592"/>
      <c r="W23" s="592"/>
      <c r="X23" s="593"/>
      <c r="Z23" s="52"/>
      <c r="AA23" s="52"/>
    </row>
    <row r="24" spans="2:44" ht="18.95" customHeight="1">
      <c r="B24" s="790" t="s">
        <v>26</v>
      </c>
      <c r="C24" s="790"/>
      <c r="D24" s="682">
        <f>AI15</f>
        <v>2</v>
      </c>
      <c r="E24" s="592"/>
      <c r="F24" s="593"/>
      <c r="G24" s="682">
        <f>AI16</f>
        <v>5</v>
      </c>
      <c r="H24" s="592"/>
      <c r="I24" s="592"/>
      <c r="J24" s="592"/>
      <c r="K24" s="592"/>
      <c r="L24" s="592"/>
      <c r="M24" s="593"/>
      <c r="N24" s="682">
        <f>AI17</f>
        <v>6</v>
      </c>
      <c r="O24" s="592"/>
      <c r="P24" s="592"/>
      <c r="Q24" s="592"/>
      <c r="R24" s="592"/>
      <c r="S24" s="593"/>
      <c r="T24" s="682">
        <f>AI18</f>
        <v>15</v>
      </c>
      <c r="U24" s="592"/>
      <c r="V24" s="592"/>
      <c r="W24" s="592"/>
      <c r="X24" s="593"/>
      <c r="Y24" s="97"/>
    </row>
    <row r="25" spans="2:44" ht="19.7" customHeight="1">
      <c r="B25" s="791" t="s">
        <v>47</v>
      </c>
      <c r="C25" s="792"/>
      <c r="D25" s="792"/>
      <c r="E25" s="792"/>
      <c r="F25" s="792"/>
      <c r="G25" s="792"/>
      <c r="H25" s="792"/>
      <c r="I25" s="792"/>
      <c r="J25" s="792"/>
      <c r="K25" s="792"/>
      <c r="L25" s="792"/>
      <c r="M25" s="792"/>
      <c r="N25" s="792"/>
      <c r="O25" s="792"/>
      <c r="P25" s="792"/>
      <c r="Q25" s="792"/>
      <c r="R25" s="792"/>
      <c r="S25" s="792"/>
      <c r="T25" s="792"/>
      <c r="U25" s="792"/>
      <c r="V25" s="792"/>
      <c r="W25" s="792"/>
      <c r="X25" s="793"/>
    </row>
    <row r="26" spans="2:44" ht="25.5">
      <c r="B26" s="180" t="s">
        <v>27</v>
      </c>
      <c r="C26" s="180" t="s">
        <v>28</v>
      </c>
      <c r="D26" s="180" t="s">
        <v>29</v>
      </c>
      <c r="E26" s="180" t="s">
        <v>30</v>
      </c>
      <c r="F26" s="174"/>
      <c r="G26" s="174"/>
      <c r="H26" s="767"/>
      <c r="I26" s="767"/>
      <c r="J26" s="767"/>
      <c r="K26" s="767"/>
      <c r="L26" s="767"/>
      <c r="M26" s="767"/>
      <c r="N26" s="767"/>
      <c r="O26" s="767"/>
      <c r="P26" s="767"/>
      <c r="Q26" s="767"/>
      <c r="R26" s="767"/>
      <c r="S26" s="795"/>
      <c r="T26" s="795"/>
      <c r="U26" s="795"/>
      <c r="V26" s="795"/>
      <c r="W26" s="795"/>
      <c r="X26" s="768"/>
    </row>
    <row r="27" spans="2:44" ht="17.649999999999999" customHeight="1">
      <c r="B27" s="181" t="s">
        <v>31</v>
      </c>
      <c r="C27" s="686">
        <f>IF(ISERROR($D$23/$D$24),0,$D$23/$D$24)</f>
        <v>1</v>
      </c>
      <c r="D27" s="686">
        <f>$E$18</f>
        <v>0.25</v>
      </c>
      <c r="E27" s="171">
        <f>$O$14</f>
        <v>1</v>
      </c>
      <c r="H27" s="794"/>
      <c r="I27" s="794"/>
      <c r="J27" s="761"/>
      <c r="K27" s="761"/>
      <c r="L27" s="104"/>
      <c r="M27" s="104"/>
      <c r="N27" s="794"/>
      <c r="O27" s="794"/>
      <c r="P27" s="794"/>
      <c r="Q27" s="794"/>
      <c r="R27" s="794"/>
      <c r="S27" s="786"/>
      <c r="T27" s="786"/>
      <c r="U27" s="786"/>
      <c r="V27" s="786"/>
      <c r="W27" s="786"/>
      <c r="X27" s="787"/>
    </row>
    <row r="28" spans="2:44" ht="17.649999999999999" customHeight="1">
      <c r="B28" s="181" t="s">
        <v>32</v>
      </c>
      <c r="C28" s="687"/>
      <c r="D28" s="687"/>
      <c r="E28" s="171">
        <f t="shared" ref="E28:E37" si="4">$O$14</f>
        <v>1</v>
      </c>
      <c r="H28" s="761"/>
      <c r="I28" s="761"/>
      <c r="J28" s="761"/>
      <c r="K28" s="761"/>
      <c r="L28" s="12"/>
      <c r="M28" s="104"/>
      <c r="N28" s="761"/>
      <c r="O28" s="761"/>
      <c r="P28" s="761"/>
      <c r="Q28" s="761"/>
      <c r="R28" s="761"/>
      <c r="S28" s="786"/>
      <c r="T28" s="786"/>
      <c r="U28" s="786"/>
      <c r="V28" s="786"/>
      <c r="W28" s="786"/>
      <c r="X28" s="787"/>
    </row>
    <row r="29" spans="2:44" ht="17.649999999999999" customHeight="1">
      <c r="B29" s="181" t="s">
        <v>33</v>
      </c>
      <c r="C29" s="688"/>
      <c r="D29" s="688"/>
      <c r="E29" s="171">
        <f t="shared" si="4"/>
        <v>1</v>
      </c>
      <c r="H29" s="761"/>
      <c r="I29" s="761"/>
      <c r="J29" s="761"/>
      <c r="K29" s="761"/>
      <c r="L29" s="12"/>
      <c r="M29" s="104"/>
      <c r="N29" s="761"/>
      <c r="O29" s="761"/>
      <c r="P29" s="761"/>
      <c r="Q29" s="761"/>
      <c r="R29" s="761"/>
      <c r="S29" s="786"/>
      <c r="T29" s="786"/>
      <c r="U29" s="786"/>
      <c r="V29" s="786"/>
      <c r="W29" s="786"/>
      <c r="X29" s="787"/>
    </row>
    <row r="30" spans="2:44" ht="17.649999999999999" customHeight="1">
      <c r="B30" s="181" t="s">
        <v>34</v>
      </c>
      <c r="C30" s="686">
        <f>IF(ISERROR($G$23/$G$24),0,$G$23/$G$24)</f>
        <v>1</v>
      </c>
      <c r="D30" s="686">
        <f t="shared" ref="D30:D36" si="5">$E$18</f>
        <v>0.25</v>
      </c>
      <c r="E30" s="171">
        <f t="shared" si="4"/>
        <v>1</v>
      </c>
      <c r="H30" s="761"/>
      <c r="I30" s="761"/>
      <c r="J30" s="761"/>
      <c r="K30" s="761"/>
      <c r="L30" s="12"/>
      <c r="M30" s="104"/>
      <c r="N30" s="761"/>
      <c r="O30" s="761"/>
      <c r="P30" s="761"/>
      <c r="Q30" s="761"/>
      <c r="R30" s="761"/>
      <c r="S30" s="786"/>
      <c r="T30" s="786"/>
      <c r="U30" s="786"/>
      <c r="V30" s="786"/>
      <c r="W30" s="786"/>
      <c r="X30" s="787"/>
    </row>
    <row r="31" spans="2:44" ht="17.649999999999999" customHeight="1">
      <c r="B31" s="181" t="s">
        <v>35</v>
      </c>
      <c r="C31" s="687"/>
      <c r="D31" s="687"/>
      <c r="E31" s="171">
        <f t="shared" si="4"/>
        <v>1</v>
      </c>
      <c r="H31" s="761"/>
      <c r="I31" s="761"/>
      <c r="J31" s="761"/>
      <c r="K31" s="761"/>
      <c r="L31" s="12"/>
      <c r="M31" s="104"/>
      <c r="N31" s="761"/>
      <c r="O31" s="761"/>
      <c r="P31" s="761"/>
      <c r="Q31" s="761"/>
      <c r="R31" s="761"/>
      <c r="S31" s="786"/>
      <c r="T31" s="786"/>
      <c r="U31" s="786"/>
      <c r="V31" s="786"/>
      <c r="W31" s="786"/>
      <c r="X31" s="787"/>
    </row>
    <row r="32" spans="2:44" ht="17.649999999999999" customHeight="1">
      <c r="B32" s="181" t="s">
        <v>36</v>
      </c>
      <c r="C32" s="688"/>
      <c r="D32" s="688"/>
      <c r="E32" s="171">
        <f t="shared" si="4"/>
        <v>1</v>
      </c>
      <c r="H32" s="761"/>
      <c r="I32" s="761"/>
      <c r="J32" s="761"/>
      <c r="K32" s="761"/>
      <c r="L32" s="12"/>
      <c r="M32" s="104"/>
      <c r="N32" s="761"/>
      <c r="O32" s="761"/>
      <c r="P32" s="761"/>
      <c r="Q32" s="761"/>
      <c r="R32" s="761"/>
      <c r="S32" s="786"/>
      <c r="T32" s="786"/>
      <c r="U32" s="786"/>
      <c r="V32" s="786"/>
      <c r="W32" s="786"/>
      <c r="X32" s="787"/>
    </row>
    <row r="33" spans="2:27" ht="17.649999999999999" customHeight="1">
      <c r="B33" s="181" t="s">
        <v>37</v>
      </c>
      <c r="C33" s="686">
        <f>IF(ISERROR($N$23/$N$24),0,$N$23/$N$24)</f>
        <v>1</v>
      </c>
      <c r="D33" s="686">
        <f t="shared" si="5"/>
        <v>0.25</v>
      </c>
      <c r="E33" s="171">
        <f t="shared" si="4"/>
        <v>1</v>
      </c>
      <c r="H33" s="761"/>
      <c r="I33" s="761"/>
      <c r="J33" s="761"/>
      <c r="K33" s="761"/>
      <c r="L33" s="12"/>
      <c r="M33" s="104"/>
      <c r="N33" s="761"/>
      <c r="O33" s="761"/>
      <c r="P33" s="761"/>
      <c r="Q33" s="761"/>
      <c r="R33" s="761"/>
      <c r="S33" s="786"/>
      <c r="T33" s="786"/>
      <c r="U33" s="786"/>
      <c r="V33" s="786"/>
      <c r="W33" s="786"/>
      <c r="X33" s="787"/>
    </row>
    <row r="34" spans="2:27" ht="17.649999999999999" customHeight="1">
      <c r="B34" s="181" t="s">
        <v>38</v>
      </c>
      <c r="C34" s="687"/>
      <c r="D34" s="687"/>
      <c r="E34" s="171">
        <f t="shared" si="4"/>
        <v>1</v>
      </c>
      <c r="H34" s="761"/>
      <c r="I34" s="761"/>
      <c r="J34" s="761"/>
      <c r="K34" s="761"/>
      <c r="L34" s="12"/>
      <c r="M34" s="104"/>
      <c r="N34" s="761"/>
      <c r="O34" s="761"/>
      <c r="P34" s="761"/>
      <c r="Q34" s="761"/>
      <c r="R34" s="761"/>
      <c r="S34" s="786"/>
      <c r="T34" s="786"/>
      <c r="U34" s="786"/>
      <c r="V34" s="786"/>
      <c r="W34" s="786"/>
      <c r="X34" s="787"/>
    </row>
    <row r="35" spans="2:27" ht="17.649999999999999" customHeight="1">
      <c r="B35" s="181" t="s">
        <v>39</v>
      </c>
      <c r="C35" s="688"/>
      <c r="D35" s="688"/>
      <c r="E35" s="171">
        <f t="shared" si="4"/>
        <v>1</v>
      </c>
      <c r="H35" s="761"/>
      <c r="I35" s="761"/>
      <c r="J35" s="761"/>
      <c r="K35" s="761"/>
      <c r="L35" s="12"/>
      <c r="M35" s="104"/>
      <c r="N35" s="761"/>
      <c r="O35" s="761"/>
      <c r="P35" s="761"/>
      <c r="Q35" s="761"/>
      <c r="R35" s="761"/>
      <c r="S35" s="786"/>
      <c r="T35" s="786"/>
      <c r="U35" s="786"/>
      <c r="V35" s="786"/>
      <c r="W35" s="786"/>
      <c r="X35" s="787"/>
    </row>
    <row r="36" spans="2:27" ht="17.649999999999999" customHeight="1">
      <c r="B36" s="181" t="s">
        <v>40</v>
      </c>
      <c r="C36" s="686">
        <f>IF(ISERROR($T$23/$T$24),0,$T$23/$T$24)</f>
        <v>0.66666666666666663</v>
      </c>
      <c r="D36" s="686">
        <f t="shared" si="5"/>
        <v>0.25</v>
      </c>
      <c r="E36" s="171">
        <f t="shared" si="4"/>
        <v>1</v>
      </c>
      <c r="H36" s="761"/>
      <c r="I36" s="761"/>
      <c r="J36" s="761"/>
      <c r="K36" s="761"/>
      <c r="L36" s="12"/>
      <c r="M36" s="104"/>
      <c r="N36" s="761"/>
      <c r="O36" s="761"/>
      <c r="P36" s="761"/>
      <c r="Q36" s="761"/>
      <c r="R36" s="761"/>
      <c r="S36" s="786"/>
      <c r="T36" s="786"/>
      <c r="U36" s="786"/>
      <c r="V36" s="786"/>
      <c r="W36" s="786"/>
      <c r="X36" s="787"/>
    </row>
    <row r="37" spans="2:27" ht="17.649999999999999" customHeight="1">
      <c r="B37" s="181" t="s">
        <v>41</v>
      </c>
      <c r="C37" s="687"/>
      <c r="D37" s="687"/>
      <c r="E37" s="171">
        <f t="shared" si="4"/>
        <v>1</v>
      </c>
      <c r="H37" s="761"/>
      <c r="I37" s="761"/>
      <c r="J37" s="761"/>
      <c r="K37" s="761"/>
      <c r="L37" s="12"/>
      <c r="M37" s="104"/>
      <c r="N37" s="761"/>
      <c r="O37" s="761"/>
      <c r="P37" s="761"/>
      <c r="Q37" s="761"/>
      <c r="R37" s="761"/>
      <c r="S37" s="786"/>
      <c r="T37" s="786"/>
      <c r="U37" s="786"/>
      <c r="V37" s="786"/>
      <c r="W37" s="786"/>
      <c r="X37" s="787"/>
    </row>
    <row r="38" spans="2:27" ht="17.649999999999999" customHeight="1">
      <c r="B38" s="181" t="s">
        <v>42</v>
      </c>
      <c r="C38" s="688"/>
      <c r="D38" s="688"/>
      <c r="E38" s="171">
        <v>0</v>
      </c>
      <c r="F38" s="176"/>
      <c r="G38" s="176"/>
      <c r="H38" s="775"/>
      <c r="I38" s="775"/>
      <c r="J38" s="775"/>
      <c r="K38" s="775"/>
      <c r="L38" s="7"/>
      <c r="M38" s="106"/>
      <c r="N38" s="775"/>
      <c r="O38" s="775"/>
      <c r="P38" s="775"/>
      <c r="Q38" s="775"/>
      <c r="R38" s="775"/>
      <c r="S38" s="788"/>
      <c r="T38" s="788"/>
      <c r="U38" s="788"/>
      <c r="V38" s="788"/>
      <c r="W38" s="788"/>
      <c r="X38" s="789"/>
    </row>
    <row r="39" spans="2:27" ht="8.4499999999999993" customHeight="1">
      <c r="B39" s="173"/>
      <c r="C39" s="174"/>
      <c r="D39" s="174"/>
      <c r="E39" s="174"/>
      <c r="F39" s="174"/>
      <c r="G39" s="174"/>
      <c r="H39" s="174"/>
      <c r="I39" s="174"/>
      <c r="J39" s="174"/>
      <c r="K39" s="174"/>
      <c r="L39" s="174"/>
      <c r="M39" s="174"/>
      <c r="N39" s="174"/>
      <c r="O39" s="174"/>
      <c r="P39" s="174"/>
      <c r="Q39" s="174"/>
      <c r="R39" s="174"/>
      <c r="S39" s="174"/>
      <c r="T39" s="174"/>
      <c r="U39" s="174"/>
      <c r="V39" s="174"/>
      <c r="W39" s="174"/>
      <c r="X39" s="175"/>
    </row>
    <row r="40" spans="2:27" ht="15.75" customHeight="1">
      <c r="B40" s="762" t="s">
        <v>50</v>
      </c>
      <c r="C40" s="763"/>
      <c r="D40" s="763"/>
      <c r="E40" s="763"/>
      <c r="F40" s="763"/>
      <c r="G40" s="763"/>
      <c r="H40" s="763"/>
      <c r="I40" s="763"/>
      <c r="J40" s="763"/>
      <c r="K40" s="763"/>
      <c r="L40" s="763"/>
      <c r="M40" s="763"/>
      <c r="N40" s="763"/>
      <c r="O40" s="763"/>
      <c r="P40" s="763"/>
      <c r="Q40" s="763"/>
      <c r="R40" s="763"/>
      <c r="S40" s="763"/>
      <c r="T40" s="763"/>
      <c r="U40" s="763"/>
      <c r="V40" s="763"/>
      <c r="W40" s="763"/>
      <c r="X40" s="764"/>
    </row>
    <row r="41" spans="2:27" ht="185.25" customHeight="1">
      <c r="B41" s="765" t="s">
        <v>461</v>
      </c>
      <c r="C41" s="765"/>
      <c r="D41" s="765"/>
      <c r="E41" s="765"/>
      <c r="F41" s="765"/>
      <c r="G41" s="765"/>
      <c r="H41" s="765"/>
      <c r="I41" s="765"/>
      <c r="J41" s="765"/>
      <c r="K41" s="765"/>
      <c r="L41" s="765"/>
      <c r="M41" s="765"/>
      <c r="N41" s="765"/>
      <c r="O41" s="765"/>
      <c r="P41" s="765"/>
      <c r="Q41" s="765"/>
      <c r="R41" s="765"/>
      <c r="S41" s="765"/>
      <c r="T41" s="765"/>
      <c r="U41" s="765"/>
      <c r="V41" s="765"/>
      <c r="W41" s="765"/>
      <c r="X41" s="765"/>
      <c r="Y41" s="109"/>
      <c r="Z41" s="110"/>
      <c r="AA41" s="110"/>
    </row>
    <row r="42" spans="2:27" ht="10.5" customHeight="1">
      <c r="B42" s="766"/>
      <c r="C42" s="767"/>
      <c r="D42" s="767"/>
      <c r="E42" s="767"/>
      <c r="F42" s="767"/>
      <c r="G42" s="767"/>
      <c r="H42" s="767"/>
      <c r="I42" s="767"/>
      <c r="J42" s="767"/>
      <c r="K42" s="767"/>
      <c r="L42" s="767"/>
      <c r="M42" s="767"/>
      <c r="N42" s="767"/>
      <c r="O42" s="767"/>
      <c r="P42" s="767"/>
      <c r="Q42" s="767"/>
      <c r="R42" s="767"/>
      <c r="S42" s="767"/>
      <c r="T42" s="767"/>
      <c r="U42" s="767"/>
      <c r="V42" s="767"/>
      <c r="W42" s="767"/>
      <c r="X42" s="768"/>
      <c r="Y42" s="111"/>
      <c r="Z42" s="57"/>
      <c r="AA42" s="58"/>
    </row>
    <row r="43" spans="2:27" ht="18" customHeight="1">
      <c r="B43" s="769" t="s">
        <v>43</v>
      </c>
      <c r="C43" s="770"/>
      <c r="D43" s="770"/>
      <c r="E43" s="770"/>
      <c r="F43" s="770"/>
      <c r="G43" s="770"/>
      <c r="H43" s="770"/>
      <c r="I43" s="770"/>
      <c r="J43" s="770"/>
      <c r="K43" s="770"/>
      <c r="L43" s="770"/>
      <c r="M43" s="770"/>
      <c r="N43" s="770"/>
      <c r="O43" s="770"/>
      <c r="P43" s="770"/>
      <c r="Q43" s="770"/>
      <c r="R43" s="770"/>
      <c r="S43" s="770"/>
      <c r="T43" s="770"/>
      <c r="U43" s="770"/>
      <c r="V43" s="770"/>
      <c r="W43" s="770"/>
      <c r="X43" s="771"/>
      <c r="Y43" s="111"/>
      <c r="Z43" s="57"/>
      <c r="AA43" s="58"/>
    </row>
    <row r="44" spans="2:27" ht="32.25" customHeight="1">
      <c r="B44" s="772"/>
      <c r="C44" s="773"/>
      <c r="D44" s="773"/>
      <c r="E44" s="773"/>
      <c r="F44" s="773"/>
      <c r="G44" s="773"/>
      <c r="H44" s="773"/>
      <c r="I44" s="773"/>
      <c r="J44" s="773"/>
      <c r="K44" s="773"/>
      <c r="L44" s="773"/>
      <c r="M44" s="773"/>
      <c r="N44" s="773"/>
      <c r="O44" s="773"/>
      <c r="P44" s="773"/>
      <c r="Q44" s="773"/>
      <c r="R44" s="773"/>
      <c r="S44" s="773"/>
      <c r="T44" s="773"/>
      <c r="U44" s="773"/>
      <c r="V44" s="773"/>
      <c r="W44" s="773"/>
      <c r="X44" s="774"/>
      <c r="Y44" s="111"/>
      <c r="Z44" s="57"/>
      <c r="AA44" s="58"/>
    </row>
    <row r="45" spans="2:27" ht="8.4499999999999993" customHeight="1">
      <c r="B45" s="173"/>
      <c r="C45" s="174"/>
      <c r="D45" s="174"/>
      <c r="E45" s="174"/>
      <c r="F45" s="174"/>
      <c r="G45" s="767"/>
      <c r="H45" s="767"/>
      <c r="I45" s="767"/>
      <c r="J45" s="767"/>
      <c r="K45" s="767"/>
      <c r="L45" s="767"/>
      <c r="M45" s="174"/>
      <c r="N45" s="174"/>
      <c r="O45" s="174"/>
      <c r="P45" s="174"/>
      <c r="Q45" s="174"/>
      <c r="R45" s="174"/>
      <c r="S45" s="174"/>
      <c r="T45" s="174"/>
      <c r="U45" s="174"/>
      <c r="V45" s="174"/>
      <c r="W45" s="174"/>
      <c r="X45" s="175"/>
      <c r="Y45" s="111"/>
      <c r="Z45" s="57"/>
      <c r="AA45" s="58"/>
    </row>
    <row r="46" spans="2:27" ht="12.75">
      <c r="B46" s="776" t="s">
        <v>44</v>
      </c>
      <c r="C46" s="777"/>
      <c r="D46" s="777"/>
      <c r="E46" s="777"/>
      <c r="F46" s="777"/>
      <c r="G46" s="777"/>
      <c r="H46" s="777"/>
      <c r="J46" s="112" t="s">
        <v>45</v>
      </c>
      <c r="L46" s="941" t="s">
        <v>199</v>
      </c>
      <c r="M46" s="942"/>
      <c r="O46" s="104" t="s">
        <v>46</v>
      </c>
      <c r="Q46" s="780"/>
      <c r="R46" s="593"/>
      <c r="X46" s="178"/>
      <c r="Y46" s="111"/>
      <c r="Z46" s="57"/>
      <c r="AA46" s="58"/>
    </row>
    <row r="47" spans="2:27" ht="8.4499999999999993" customHeight="1">
      <c r="B47" s="114"/>
      <c r="I47" s="781"/>
      <c r="J47" s="781"/>
      <c r="K47" s="781"/>
      <c r="L47" s="781"/>
      <c r="M47" s="781"/>
      <c r="N47" s="781"/>
      <c r="O47" s="781"/>
      <c r="P47" s="781"/>
      <c r="Q47" s="781"/>
      <c r="R47" s="781"/>
      <c r="S47" s="781"/>
      <c r="T47" s="781"/>
      <c r="U47" s="781"/>
      <c r="V47" s="781"/>
      <c r="W47" s="781"/>
      <c r="X47" s="782"/>
      <c r="Y47" s="111"/>
      <c r="Z47" s="57"/>
      <c r="AA47" s="58"/>
    </row>
    <row r="48" spans="2:27" ht="35.25" customHeight="1">
      <c r="B48" s="783" t="s">
        <v>57</v>
      </c>
      <c r="C48" s="784"/>
      <c r="D48" s="784"/>
      <c r="E48" s="784"/>
      <c r="F48" s="784"/>
      <c r="G48" s="784"/>
      <c r="H48" s="784"/>
      <c r="I48" s="784"/>
      <c r="J48" s="784"/>
      <c r="K48" s="784"/>
      <c r="L48" s="784"/>
      <c r="M48" s="784"/>
      <c r="N48" s="784"/>
      <c r="O48" s="784"/>
      <c r="P48" s="784"/>
      <c r="Q48" s="784"/>
      <c r="R48" s="784"/>
      <c r="S48" s="784"/>
      <c r="T48" s="784"/>
      <c r="U48" s="784"/>
      <c r="V48" s="784"/>
      <c r="W48" s="784"/>
      <c r="X48" s="785"/>
      <c r="Y48" s="111"/>
      <c r="Z48" s="57"/>
      <c r="AA48" s="58"/>
    </row>
    <row r="49" spans="2:27" ht="8.4499999999999993" customHeight="1">
      <c r="B49" s="115"/>
      <c r="C49" s="176"/>
      <c r="D49" s="176"/>
      <c r="E49" s="176"/>
      <c r="F49" s="176"/>
      <c r="G49" s="182"/>
      <c r="H49" s="176"/>
      <c r="I49" s="16"/>
      <c r="J49" s="35"/>
      <c r="K49" s="7"/>
      <c r="L49" s="176"/>
      <c r="M49" s="176"/>
      <c r="N49" s="176"/>
      <c r="O49" s="176"/>
      <c r="P49" s="176"/>
      <c r="Q49" s="176"/>
      <c r="R49" s="176"/>
      <c r="S49" s="176"/>
      <c r="T49" s="176"/>
      <c r="U49" s="176"/>
      <c r="V49" s="176"/>
      <c r="W49" s="176"/>
      <c r="X49" s="179"/>
      <c r="Y49" s="111"/>
      <c r="Z49" s="57"/>
      <c r="AA49" s="58"/>
    </row>
    <row r="50" spans="2:27" ht="13.5" customHeight="1">
      <c r="G50" s="761"/>
      <c r="H50" s="761"/>
      <c r="I50" s="761"/>
      <c r="J50" s="761"/>
      <c r="K50" s="761"/>
      <c r="L50" s="761"/>
      <c r="M50" s="761"/>
      <c r="N50" s="761"/>
      <c r="O50" s="761"/>
      <c r="P50" s="761"/>
      <c r="Q50" s="761"/>
      <c r="R50" s="761"/>
      <c r="S50" s="761"/>
      <c r="T50" s="761"/>
      <c r="U50" s="761"/>
      <c r="V50" s="761"/>
      <c r="W50" s="761"/>
      <c r="X50" s="761"/>
      <c r="Y50" s="111"/>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73" firstPageNumber="0" pageOrder="overThenDown" orientation="portrait"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9">
    <tabColor rgb="FF00B050"/>
    <pageSetUpPr fitToPage="1"/>
  </sheetPr>
  <dimension ref="B1:AR50"/>
  <sheetViews>
    <sheetView zoomScale="80" zoomScaleNormal="80" zoomScaleSheetLayoutView="100" workbookViewId="0">
      <selection activeCell="AL29" sqref="AL29"/>
    </sheetView>
  </sheetViews>
  <sheetFormatPr baseColWidth="10" defaultColWidth="4.625" defaultRowHeight="13.5" customHeight="1"/>
  <cols>
    <col min="1" max="1" width="1" style="172" customWidth="1"/>
    <col min="2" max="2" width="9.875" style="172" customWidth="1"/>
    <col min="3" max="3" width="8.5" style="172" customWidth="1"/>
    <col min="4" max="4" width="8.25" style="172" customWidth="1"/>
    <col min="5" max="5" width="8.125" style="172" customWidth="1"/>
    <col min="6" max="6" width="6.625" style="172" customWidth="1"/>
    <col min="7" max="7" width="3.5" style="172" customWidth="1"/>
    <col min="8" max="8" width="2.375" style="172" customWidth="1"/>
    <col min="9" max="9" width="2" style="172" customWidth="1"/>
    <col min="10" max="10" width="7.25" style="172" customWidth="1"/>
    <col min="11" max="11" width="1.75" style="172" customWidth="1"/>
    <col min="12" max="12" width="2.125" style="172" customWidth="1"/>
    <col min="13" max="13" width="2.375" style="172" customWidth="1"/>
    <col min="14" max="14" width="6.125" style="172" customWidth="1"/>
    <col min="15" max="15" width="4.5" style="172" customWidth="1"/>
    <col min="16" max="16" width="2" style="172" customWidth="1"/>
    <col min="17" max="17" width="1.5" style="172" customWidth="1"/>
    <col min="18" max="18" width="3.75" style="172" customWidth="1"/>
    <col min="19" max="19" width="5.375" style="172" customWidth="1"/>
    <col min="20" max="20" width="3.875" style="172" customWidth="1"/>
    <col min="21" max="21" width="4.375" style="172" customWidth="1"/>
    <col min="22" max="22" width="5.875" style="172" customWidth="1"/>
    <col min="23" max="23" width="5.75" style="172" customWidth="1"/>
    <col min="24" max="24" width="6.25" style="172" customWidth="1"/>
    <col min="25" max="25" width="1.375" style="94" customWidth="1"/>
    <col min="26" max="26" width="3.25" style="95" customWidth="1"/>
    <col min="27" max="27" width="3.75" style="95" customWidth="1"/>
    <col min="28" max="43" width="4.625" style="95"/>
    <col min="44" max="44" width="7.75" style="172" customWidth="1"/>
    <col min="45" max="16384" width="4.625" style="172"/>
  </cols>
  <sheetData>
    <row r="1" spans="2:44" ht="20.25" customHeight="1">
      <c r="B1" s="838" t="s">
        <v>72</v>
      </c>
      <c r="C1" s="839"/>
      <c r="D1" s="839"/>
      <c r="E1" s="839"/>
      <c r="F1" s="839"/>
      <c r="G1" s="839"/>
      <c r="H1" s="839"/>
      <c r="I1" s="839"/>
      <c r="J1" s="839"/>
      <c r="K1" s="839"/>
      <c r="L1" s="839"/>
      <c r="M1" s="839"/>
      <c r="N1" s="839"/>
      <c r="O1" s="839"/>
      <c r="P1" s="839"/>
      <c r="Q1" s="839"/>
      <c r="R1" s="839"/>
      <c r="S1" s="839"/>
      <c r="T1" s="840"/>
      <c r="U1" s="841"/>
      <c r="V1" s="842"/>
      <c r="W1" s="842"/>
      <c r="X1" s="843"/>
      <c r="AB1" s="667" t="s">
        <v>447</v>
      </c>
      <c r="AC1" s="667"/>
      <c r="AD1" s="667"/>
      <c r="AE1" s="667"/>
      <c r="AF1" s="667"/>
      <c r="AG1" s="667"/>
      <c r="AH1" s="667"/>
      <c r="AI1" s="667"/>
      <c r="AJ1" s="667"/>
      <c r="AK1" s="667"/>
      <c r="AL1" s="667"/>
      <c r="AM1" s="667"/>
      <c r="AN1" s="667"/>
      <c r="AO1" s="667"/>
      <c r="AP1" s="667"/>
      <c r="AQ1" s="667"/>
      <c r="AR1" s="667"/>
    </row>
    <row r="2" spans="2:44" ht="13.5" customHeight="1">
      <c r="B2" s="850" t="s">
        <v>75</v>
      </c>
      <c r="C2" s="851"/>
      <c r="D2" s="851"/>
      <c r="E2" s="851"/>
      <c r="F2" s="851"/>
      <c r="G2" s="851"/>
      <c r="H2" s="851"/>
      <c r="I2" s="851"/>
      <c r="J2" s="851"/>
      <c r="K2" s="851"/>
      <c r="L2" s="851"/>
      <c r="M2" s="851"/>
      <c r="N2" s="851"/>
      <c r="O2" s="851"/>
      <c r="P2" s="851"/>
      <c r="Q2" s="851"/>
      <c r="R2" s="851"/>
      <c r="S2" s="851"/>
      <c r="T2" s="852"/>
      <c r="U2" s="844"/>
      <c r="V2" s="845"/>
      <c r="W2" s="845"/>
      <c r="X2" s="846"/>
    </row>
    <row r="3" spans="2:44" ht="13.5" customHeight="1">
      <c r="B3" s="853"/>
      <c r="C3" s="854"/>
      <c r="D3" s="854"/>
      <c r="E3" s="854"/>
      <c r="F3" s="854"/>
      <c r="G3" s="854"/>
      <c r="H3" s="854"/>
      <c r="I3" s="854"/>
      <c r="J3" s="854"/>
      <c r="K3" s="854"/>
      <c r="L3" s="854"/>
      <c r="M3" s="854"/>
      <c r="N3" s="854"/>
      <c r="O3" s="854"/>
      <c r="P3" s="854"/>
      <c r="Q3" s="854"/>
      <c r="R3" s="854"/>
      <c r="S3" s="854"/>
      <c r="T3" s="855"/>
      <c r="U3" s="844"/>
      <c r="V3" s="845"/>
      <c r="W3" s="845"/>
      <c r="X3" s="846"/>
      <c r="AB3" s="676" t="s">
        <v>194</v>
      </c>
      <c r="AC3" s="676"/>
      <c r="AD3" s="676"/>
      <c r="AE3" s="676"/>
      <c r="AF3" s="676"/>
      <c r="AG3" s="676"/>
      <c r="AH3" s="676"/>
      <c r="AI3" s="676"/>
      <c r="AJ3" s="676"/>
      <c r="AK3" s="676"/>
      <c r="AL3" s="676"/>
      <c r="AM3" s="676"/>
      <c r="AN3" s="676"/>
      <c r="AO3" s="676"/>
      <c r="AP3" s="676"/>
      <c r="AQ3" s="676"/>
      <c r="AR3" s="676"/>
    </row>
    <row r="4" spans="2:44" ht="13.5" customHeight="1">
      <c r="B4" s="856"/>
      <c r="C4" s="857"/>
      <c r="D4" s="857"/>
      <c r="E4" s="857"/>
      <c r="F4" s="857"/>
      <c r="G4" s="857"/>
      <c r="H4" s="857"/>
      <c r="I4" s="857"/>
      <c r="J4" s="857"/>
      <c r="K4" s="857"/>
      <c r="L4" s="857"/>
      <c r="M4" s="857"/>
      <c r="N4" s="857"/>
      <c r="O4" s="857"/>
      <c r="P4" s="857"/>
      <c r="Q4" s="857"/>
      <c r="R4" s="857"/>
      <c r="S4" s="857"/>
      <c r="T4" s="858"/>
      <c r="U4" s="847"/>
      <c r="V4" s="848"/>
      <c r="W4" s="848"/>
      <c r="X4" s="849"/>
      <c r="AB4" s="676"/>
      <c r="AC4" s="676"/>
      <c r="AD4" s="676"/>
      <c r="AE4" s="676"/>
      <c r="AF4" s="676"/>
      <c r="AG4" s="676"/>
      <c r="AH4" s="676"/>
      <c r="AI4" s="676"/>
      <c r="AJ4" s="676"/>
      <c r="AK4" s="676"/>
      <c r="AL4" s="676"/>
      <c r="AM4" s="676"/>
      <c r="AN4" s="676"/>
      <c r="AO4" s="676"/>
      <c r="AP4" s="676"/>
      <c r="AQ4" s="676"/>
      <c r="AR4" s="676"/>
    </row>
    <row r="5" spans="2:44" s="41" customFormat="1" ht="14.25" customHeight="1">
      <c r="B5" s="170" t="s">
        <v>0</v>
      </c>
      <c r="C5" s="561" t="s">
        <v>126</v>
      </c>
      <c r="D5" s="561"/>
      <c r="E5" s="562" t="s">
        <v>1</v>
      </c>
      <c r="F5" s="562"/>
      <c r="G5" s="562"/>
      <c r="H5" s="561" t="s">
        <v>118</v>
      </c>
      <c r="I5" s="561"/>
      <c r="J5" s="561"/>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825"/>
      <c r="C6" s="825"/>
      <c r="D6" s="825"/>
      <c r="E6" s="825"/>
      <c r="F6" s="825"/>
      <c r="G6" s="825"/>
      <c r="H6" s="825"/>
      <c r="I6" s="825"/>
      <c r="J6" s="825"/>
      <c r="K6" s="825"/>
      <c r="L6" s="825"/>
      <c r="M6" s="825"/>
      <c r="N6" s="825"/>
      <c r="O6" s="825"/>
      <c r="P6" s="825"/>
      <c r="Q6" s="825"/>
      <c r="R6" s="825"/>
      <c r="S6" s="825"/>
      <c r="T6" s="825"/>
      <c r="U6" s="825"/>
      <c r="V6" s="825"/>
      <c r="W6" s="825"/>
      <c r="X6" s="825"/>
      <c r="AB6" s="675"/>
      <c r="AC6" s="675"/>
      <c r="AD6" s="675"/>
      <c r="AE6" s="675"/>
      <c r="AF6" s="675"/>
      <c r="AG6" s="675"/>
      <c r="AH6" s="675"/>
      <c r="AI6" s="675"/>
      <c r="AJ6" s="675"/>
      <c r="AK6" s="675"/>
      <c r="AL6" s="675"/>
      <c r="AM6" s="675"/>
      <c r="AN6" s="675"/>
      <c r="AO6" s="675"/>
      <c r="AP6" s="676"/>
      <c r="AQ6" s="676"/>
      <c r="AR6" s="678"/>
    </row>
    <row r="7" spans="2:44" ht="14.25" customHeight="1">
      <c r="B7" s="826" t="s">
        <v>76</v>
      </c>
      <c r="C7" s="827"/>
      <c r="D7" s="827"/>
      <c r="E7" s="827"/>
      <c r="F7" s="828"/>
      <c r="G7" s="832" t="s">
        <v>77</v>
      </c>
      <c r="H7" s="833"/>
      <c r="I7" s="833"/>
      <c r="J7" s="833"/>
      <c r="K7" s="833"/>
      <c r="L7" s="833"/>
      <c r="M7" s="833"/>
      <c r="N7" s="833"/>
      <c r="O7" s="833"/>
      <c r="P7" s="833"/>
      <c r="Q7" s="833"/>
      <c r="R7" s="833"/>
      <c r="S7" s="833"/>
      <c r="T7" s="833"/>
      <c r="U7" s="833"/>
      <c r="V7" s="833"/>
      <c r="W7" s="833"/>
      <c r="X7" s="834"/>
      <c r="AB7" s="806">
        <v>2019</v>
      </c>
      <c r="AC7" s="806"/>
      <c r="AD7" s="801" t="s">
        <v>127</v>
      </c>
      <c r="AE7" s="801"/>
      <c r="AF7" s="801"/>
      <c r="AG7" s="801"/>
      <c r="AH7" s="801"/>
      <c r="AI7" s="673"/>
      <c r="AJ7" s="673"/>
      <c r="AK7" s="673"/>
      <c r="AL7" s="673"/>
      <c r="AM7" s="673"/>
      <c r="AN7" s="673"/>
      <c r="AO7" s="673"/>
      <c r="AP7" s="674" t="e">
        <f t="shared" ref="AP7:AP10" si="0">AL7/AI7</f>
        <v>#DIV/0!</v>
      </c>
      <c r="AQ7" s="674"/>
      <c r="AR7" s="668" t="e">
        <f>SUM(AP7:AQ10)/4</f>
        <v>#DIV/0!</v>
      </c>
    </row>
    <row r="8" spans="2:44" ht="14.25" customHeight="1">
      <c r="B8" s="829"/>
      <c r="C8" s="830"/>
      <c r="D8" s="830"/>
      <c r="E8" s="830"/>
      <c r="F8" s="831"/>
      <c r="G8" s="835"/>
      <c r="H8" s="836"/>
      <c r="I8" s="836"/>
      <c r="J8" s="836"/>
      <c r="K8" s="836"/>
      <c r="L8" s="836"/>
      <c r="M8" s="836"/>
      <c r="N8" s="836"/>
      <c r="O8" s="836"/>
      <c r="P8" s="836"/>
      <c r="Q8" s="836"/>
      <c r="R8" s="836"/>
      <c r="S8" s="836"/>
      <c r="T8" s="836"/>
      <c r="U8" s="836"/>
      <c r="V8" s="836"/>
      <c r="W8" s="836"/>
      <c r="X8" s="837"/>
      <c r="AB8" s="806"/>
      <c r="AC8" s="806"/>
      <c r="AD8" s="801" t="s">
        <v>128</v>
      </c>
      <c r="AE8" s="801"/>
      <c r="AF8" s="801"/>
      <c r="AG8" s="801"/>
      <c r="AH8" s="801"/>
      <c r="AI8" s="673"/>
      <c r="AJ8" s="673"/>
      <c r="AK8" s="673"/>
      <c r="AL8" s="673"/>
      <c r="AM8" s="673"/>
      <c r="AN8" s="673"/>
      <c r="AO8" s="673"/>
      <c r="AP8" s="674" t="e">
        <f t="shared" si="0"/>
        <v>#DIV/0!</v>
      </c>
      <c r="AQ8" s="674"/>
      <c r="AR8" s="668"/>
    </row>
    <row r="9" spans="2:44" ht="19.149999999999999" customHeight="1">
      <c r="B9" s="791" t="s">
        <v>49</v>
      </c>
      <c r="C9" s="792"/>
      <c r="D9" s="792"/>
      <c r="E9" s="792"/>
      <c r="F9" s="792"/>
      <c r="G9" s="792"/>
      <c r="H9" s="792"/>
      <c r="I9" s="792"/>
      <c r="J9" s="792"/>
      <c r="K9" s="792"/>
      <c r="L9" s="792"/>
      <c r="M9" s="792"/>
      <c r="N9" s="792"/>
      <c r="O9" s="792"/>
      <c r="P9" s="792"/>
      <c r="Q9" s="792"/>
      <c r="R9" s="792"/>
      <c r="S9" s="792"/>
      <c r="T9" s="792"/>
      <c r="U9" s="792"/>
      <c r="V9" s="792"/>
      <c r="W9" s="792"/>
      <c r="X9" s="793"/>
      <c r="AB9" s="806"/>
      <c r="AC9" s="806"/>
      <c r="AD9" s="801" t="s">
        <v>129</v>
      </c>
      <c r="AE9" s="801"/>
      <c r="AF9" s="801"/>
      <c r="AG9" s="801"/>
      <c r="AH9" s="801"/>
      <c r="AI9" s="673"/>
      <c r="AJ9" s="673"/>
      <c r="AK9" s="673"/>
      <c r="AL9" s="673"/>
      <c r="AM9" s="673"/>
      <c r="AN9" s="673"/>
      <c r="AO9" s="673"/>
      <c r="AP9" s="674" t="e">
        <f t="shared" si="0"/>
        <v>#DIV/0!</v>
      </c>
      <c r="AQ9" s="674"/>
      <c r="AR9" s="668"/>
    </row>
    <row r="10" spans="2:44" ht="15" customHeight="1">
      <c r="B10" s="802" t="s">
        <v>4</v>
      </c>
      <c r="C10" s="803"/>
      <c r="D10" s="803"/>
      <c r="E10" s="803"/>
      <c r="F10" s="803"/>
      <c r="G10" s="803"/>
      <c r="H10" s="803"/>
      <c r="I10" s="803"/>
      <c r="J10" s="803"/>
      <c r="K10" s="803"/>
      <c r="L10" s="803"/>
      <c r="M10" s="803"/>
      <c r="N10" s="803"/>
      <c r="O10" s="803"/>
      <c r="P10" s="803"/>
      <c r="Q10" s="803"/>
      <c r="R10" s="803"/>
      <c r="S10" s="803"/>
      <c r="T10" s="803"/>
      <c r="U10" s="803"/>
      <c r="V10" s="803"/>
      <c r="W10" s="803"/>
      <c r="X10" s="803"/>
      <c r="AB10" s="806"/>
      <c r="AC10" s="806"/>
      <c r="AD10" s="801" t="s">
        <v>130</v>
      </c>
      <c r="AE10" s="801"/>
      <c r="AF10" s="801"/>
      <c r="AG10" s="801"/>
      <c r="AH10" s="801"/>
      <c r="AI10" s="673"/>
      <c r="AJ10" s="673"/>
      <c r="AK10" s="673"/>
      <c r="AL10" s="673"/>
      <c r="AM10" s="673"/>
      <c r="AN10" s="673"/>
      <c r="AO10" s="673"/>
      <c r="AP10" s="674" t="e">
        <f t="shared" si="0"/>
        <v>#DIV/0!</v>
      </c>
      <c r="AQ10" s="674"/>
      <c r="AR10" s="668"/>
    </row>
    <row r="11" spans="2:44" ht="38.25" customHeight="1">
      <c r="B11" s="823" t="s">
        <v>438</v>
      </c>
      <c r="C11" s="823"/>
      <c r="D11" s="823"/>
      <c r="E11" s="823"/>
      <c r="F11" s="823"/>
      <c r="G11" s="823"/>
      <c r="H11" s="823"/>
      <c r="I11" s="823"/>
      <c r="J11" s="823"/>
      <c r="K11" s="823"/>
      <c r="L11" s="823"/>
      <c r="M11" s="823"/>
      <c r="N11" s="823"/>
      <c r="O11" s="823"/>
      <c r="P11" s="823"/>
      <c r="Q11" s="823"/>
      <c r="R11" s="823"/>
      <c r="S11" s="823"/>
      <c r="T11" s="823"/>
      <c r="U11" s="823"/>
      <c r="V11" s="823"/>
      <c r="W11" s="823"/>
      <c r="X11" s="823"/>
      <c r="AB11" s="805">
        <v>2020</v>
      </c>
      <c r="AC11" s="805"/>
      <c r="AD11" s="797" t="s">
        <v>131</v>
      </c>
      <c r="AE11" s="797"/>
      <c r="AF11" s="797"/>
      <c r="AG11" s="797"/>
      <c r="AH11" s="797"/>
      <c r="AI11" s="672">
        <v>4</v>
      </c>
      <c r="AJ11" s="672"/>
      <c r="AK11" s="672"/>
      <c r="AL11" s="672">
        <v>1</v>
      </c>
      <c r="AM11" s="672"/>
      <c r="AN11" s="672"/>
      <c r="AO11" s="672"/>
      <c r="AP11" s="671">
        <f>AL11/AI11</f>
        <v>0.25</v>
      </c>
      <c r="AQ11" s="671"/>
      <c r="AR11" s="669">
        <f>SUM(AP11:AQ14)/4</f>
        <v>0.5625</v>
      </c>
    </row>
    <row r="12" spans="2:44" ht="12.75">
      <c r="B12" s="810" t="s">
        <v>56</v>
      </c>
      <c r="C12" s="814"/>
      <c r="D12" s="814"/>
      <c r="E12" s="814"/>
      <c r="F12" s="811"/>
      <c r="G12" s="810" t="s">
        <v>48</v>
      </c>
      <c r="H12" s="814"/>
      <c r="I12" s="814"/>
      <c r="J12" s="811"/>
      <c r="K12" s="810" t="s">
        <v>5</v>
      </c>
      <c r="L12" s="814"/>
      <c r="M12" s="814"/>
      <c r="N12" s="811"/>
      <c r="O12" s="802" t="s">
        <v>6</v>
      </c>
      <c r="P12" s="803"/>
      <c r="Q12" s="803"/>
      <c r="R12" s="803"/>
      <c r="S12" s="803"/>
      <c r="T12" s="803"/>
      <c r="U12" s="803"/>
      <c r="V12" s="803"/>
      <c r="W12" s="803"/>
      <c r="X12" s="804"/>
      <c r="Y12" s="97"/>
      <c r="Z12" s="98"/>
      <c r="AA12" s="98"/>
      <c r="AB12" s="805"/>
      <c r="AC12" s="805"/>
      <c r="AD12" s="797" t="s">
        <v>132</v>
      </c>
      <c r="AE12" s="797"/>
      <c r="AF12" s="797"/>
      <c r="AG12" s="797"/>
      <c r="AH12" s="797"/>
      <c r="AI12" s="672">
        <v>2</v>
      </c>
      <c r="AJ12" s="672"/>
      <c r="AK12" s="672"/>
      <c r="AL12" s="672">
        <v>2</v>
      </c>
      <c r="AM12" s="672"/>
      <c r="AN12" s="672"/>
      <c r="AO12" s="672"/>
      <c r="AP12" s="671">
        <f t="shared" ref="AP12:AP22" si="1">AL12/AI12</f>
        <v>1</v>
      </c>
      <c r="AQ12" s="671"/>
      <c r="AR12" s="669"/>
    </row>
    <row r="13" spans="2:44" ht="25.5" customHeight="1">
      <c r="B13" s="812"/>
      <c r="C13" s="815"/>
      <c r="D13" s="815"/>
      <c r="E13" s="815"/>
      <c r="F13" s="813"/>
      <c r="G13" s="812"/>
      <c r="H13" s="815"/>
      <c r="I13" s="815"/>
      <c r="J13" s="813"/>
      <c r="K13" s="812"/>
      <c r="L13" s="815"/>
      <c r="M13" s="815"/>
      <c r="N13" s="813"/>
      <c r="O13" s="802" t="s">
        <v>55</v>
      </c>
      <c r="P13" s="803"/>
      <c r="Q13" s="803"/>
      <c r="R13" s="804"/>
      <c r="S13" s="802" t="s">
        <v>54</v>
      </c>
      <c r="T13" s="803"/>
      <c r="U13" s="804"/>
      <c r="V13" s="802" t="s">
        <v>53</v>
      </c>
      <c r="W13" s="803"/>
      <c r="X13" s="804"/>
      <c r="Y13" s="97"/>
      <c r="Z13" s="98"/>
      <c r="AA13" s="98"/>
      <c r="AB13" s="805"/>
      <c r="AC13" s="805"/>
      <c r="AD13" s="797" t="s">
        <v>133</v>
      </c>
      <c r="AE13" s="797"/>
      <c r="AF13" s="797"/>
      <c r="AG13" s="797"/>
      <c r="AH13" s="797"/>
      <c r="AI13" s="672">
        <v>2</v>
      </c>
      <c r="AJ13" s="672"/>
      <c r="AK13" s="672"/>
      <c r="AL13" s="672">
        <v>2</v>
      </c>
      <c r="AM13" s="672"/>
      <c r="AN13" s="672"/>
      <c r="AO13" s="672"/>
      <c r="AP13" s="671">
        <f t="shared" si="1"/>
        <v>1</v>
      </c>
      <c r="AQ13" s="671"/>
      <c r="AR13" s="669"/>
    </row>
    <row r="14" spans="2:44" ht="29.25" customHeight="1">
      <c r="B14" s="818" t="s">
        <v>439</v>
      </c>
      <c r="C14" s="818"/>
      <c r="D14" s="818"/>
      <c r="E14" s="818"/>
      <c r="F14" s="818"/>
      <c r="G14" s="711" t="s">
        <v>100</v>
      </c>
      <c r="H14" s="711"/>
      <c r="I14" s="711"/>
      <c r="J14" s="711"/>
      <c r="K14" s="711">
        <v>0.7</v>
      </c>
      <c r="L14" s="711"/>
      <c r="M14" s="711"/>
      <c r="N14" s="711"/>
      <c r="O14" s="820">
        <v>1</v>
      </c>
      <c r="P14" s="821"/>
      <c r="Q14" s="821"/>
      <c r="R14" s="822"/>
      <c r="S14" s="591">
        <v>44561</v>
      </c>
      <c r="T14" s="592"/>
      <c r="U14" s="593"/>
      <c r="V14" s="594">
        <v>2021</v>
      </c>
      <c r="W14" s="594"/>
      <c r="X14" s="594"/>
      <c r="AB14" s="805"/>
      <c r="AC14" s="805"/>
      <c r="AD14" s="797" t="s">
        <v>134</v>
      </c>
      <c r="AE14" s="797"/>
      <c r="AF14" s="797"/>
      <c r="AG14" s="797"/>
      <c r="AH14" s="797"/>
      <c r="AI14" s="672">
        <v>2</v>
      </c>
      <c r="AJ14" s="672"/>
      <c r="AK14" s="672"/>
      <c r="AL14" s="672"/>
      <c r="AM14" s="672"/>
      <c r="AN14" s="672"/>
      <c r="AO14" s="672"/>
      <c r="AP14" s="671">
        <f t="shared" si="1"/>
        <v>0</v>
      </c>
      <c r="AQ14" s="671"/>
      <c r="AR14" s="669"/>
    </row>
    <row r="15" spans="2:44" ht="18" customHeight="1">
      <c r="B15" s="791" t="s">
        <v>7</v>
      </c>
      <c r="C15" s="792"/>
      <c r="D15" s="792"/>
      <c r="E15" s="792"/>
      <c r="F15" s="792"/>
      <c r="G15" s="792"/>
      <c r="H15" s="792"/>
      <c r="I15" s="792"/>
      <c r="J15" s="792"/>
      <c r="K15" s="792"/>
      <c r="L15" s="792"/>
      <c r="M15" s="792"/>
      <c r="N15" s="792"/>
      <c r="O15" s="792"/>
      <c r="P15" s="792"/>
      <c r="Q15" s="792"/>
      <c r="R15" s="792"/>
      <c r="S15" s="792"/>
      <c r="T15" s="792"/>
      <c r="U15" s="792"/>
      <c r="V15" s="792"/>
      <c r="W15" s="792"/>
      <c r="X15" s="793"/>
      <c r="Z15" s="95" t="s">
        <v>51</v>
      </c>
      <c r="AB15" s="806">
        <v>2021</v>
      </c>
      <c r="AC15" s="806"/>
      <c r="AD15" s="801" t="s">
        <v>135</v>
      </c>
      <c r="AE15" s="801"/>
      <c r="AF15" s="801"/>
      <c r="AG15" s="801"/>
      <c r="AH15" s="801"/>
      <c r="AI15" s="673">
        <v>50</v>
      </c>
      <c r="AJ15" s="673"/>
      <c r="AK15" s="673"/>
      <c r="AL15" s="673">
        <v>44</v>
      </c>
      <c r="AM15" s="673"/>
      <c r="AN15" s="673"/>
      <c r="AO15" s="673"/>
      <c r="AP15" s="674">
        <f t="shared" si="1"/>
        <v>0.88</v>
      </c>
      <c r="AQ15" s="674"/>
      <c r="AR15" s="668">
        <f t="shared" ref="AR15" si="2">SUM(AP15:AQ18)/4</f>
        <v>0.67599613152804638</v>
      </c>
    </row>
    <row r="16" spans="2:44" ht="12.75" customHeight="1">
      <c r="B16" s="808" t="s">
        <v>52</v>
      </c>
      <c r="C16" s="810" t="s">
        <v>8</v>
      </c>
      <c r="D16" s="811"/>
      <c r="E16" s="810" t="s">
        <v>115</v>
      </c>
      <c r="F16" s="811"/>
      <c r="G16" s="810" t="s">
        <v>109</v>
      </c>
      <c r="H16" s="814"/>
      <c r="I16" s="814"/>
      <c r="J16" s="814"/>
      <c r="K16" s="814"/>
      <c r="L16" s="811"/>
      <c r="M16" s="816" t="s">
        <v>116</v>
      </c>
      <c r="N16" s="816"/>
      <c r="O16" s="816"/>
      <c r="P16" s="816"/>
      <c r="Q16" s="816"/>
      <c r="R16" s="816"/>
      <c r="S16" s="816"/>
      <c r="T16" s="816"/>
      <c r="U16" s="816"/>
      <c r="V16" s="816"/>
      <c r="W16" s="816"/>
      <c r="X16" s="816"/>
      <c r="AB16" s="806"/>
      <c r="AC16" s="806"/>
      <c r="AD16" s="801" t="s">
        <v>136</v>
      </c>
      <c r="AE16" s="801"/>
      <c r="AF16" s="801"/>
      <c r="AG16" s="801"/>
      <c r="AH16" s="801"/>
      <c r="AI16" s="673">
        <v>47</v>
      </c>
      <c r="AJ16" s="673"/>
      <c r="AK16" s="673"/>
      <c r="AL16" s="673">
        <v>43</v>
      </c>
      <c r="AM16" s="673"/>
      <c r="AN16" s="673"/>
      <c r="AO16" s="673"/>
      <c r="AP16" s="674">
        <f t="shared" si="1"/>
        <v>0.91489361702127658</v>
      </c>
      <c r="AQ16" s="674"/>
      <c r="AR16" s="668"/>
    </row>
    <row r="17" spans="2:44" ht="12.75" customHeight="1">
      <c r="B17" s="809"/>
      <c r="C17" s="812"/>
      <c r="D17" s="813"/>
      <c r="E17" s="812"/>
      <c r="F17" s="813"/>
      <c r="G17" s="812"/>
      <c r="H17" s="815"/>
      <c r="I17" s="815"/>
      <c r="J17" s="815"/>
      <c r="K17" s="815"/>
      <c r="L17" s="813"/>
      <c r="M17" s="802" t="s">
        <v>121</v>
      </c>
      <c r="N17" s="803"/>
      <c r="O17" s="803"/>
      <c r="P17" s="803"/>
      <c r="Q17" s="804"/>
      <c r="R17" s="802" t="s">
        <v>122</v>
      </c>
      <c r="S17" s="803"/>
      <c r="T17" s="803"/>
      <c r="U17" s="803"/>
      <c r="V17" s="817" t="s">
        <v>117</v>
      </c>
      <c r="W17" s="817"/>
      <c r="X17" s="817"/>
      <c r="AB17" s="806"/>
      <c r="AC17" s="806"/>
      <c r="AD17" s="801" t="s">
        <v>137</v>
      </c>
      <c r="AE17" s="801"/>
      <c r="AF17" s="801"/>
      <c r="AG17" s="801"/>
      <c r="AH17" s="801"/>
      <c r="AI17" s="695">
        <v>66</v>
      </c>
      <c r="AJ17" s="696"/>
      <c r="AK17" s="697"/>
      <c r="AL17" s="695">
        <v>60</v>
      </c>
      <c r="AM17" s="696"/>
      <c r="AN17" s="696"/>
      <c r="AO17" s="697"/>
      <c r="AP17" s="705">
        <f t="shared" si="1"/>
        <v>0.90909090909090906</v>
      </c>
      <c r="AQ17" s="706"/>
      <c r="AR17" s="668"/>
    </row>
    <row r="18" spans="2:44" ht="28.5" customHeight="1">
      <c r="B18" s="177" t="s">
        <v>188</v>
      </c>
      <c r="C18" s="780" t="s">
        <v>112</v>
      </c>
      <c r="D18" s="593"/>
      <c r="E18" s="711">
        <v>0.7</v>
      </c>
      <c r="F18" s="711"/>
      <c r="G18" s="818" t="s">
        <v>433</v>
      </c>
      <c r="H18" s="818"/>
      <c r="I18" s="818"/>
      <c r="J18" s="818"/>
      <c r="K18" s="818"/>
      <c r="L18" s="818"/>
      <c r="M18" s="798" t="s">
        <v>123</v>
      </c>
      <c r="N18" s="798"/>
      <c r="O18" s="798"/>
      <c r="P18" s="798"/>
      <c r="Q18" s="798"/>
      <c r="R18" s="799" t="s">
        <v>124</v>
      </c>
      <c r="S18" s="799"/>
      <c r="T18" s="799"/>
      <c r="U18" s="799"/>
      <c r="V18" s="800" t="s">
        <v>125</v>
      </c>
      <c r="W18" s="800"/>
      <c r="X18" s="800"/>
      <c r="AB18" s="806"/>
      <c r="AC18" s="806"/>
      <c r="AD18" s="801" t="s">
        <v>138</v>
      </c>
      <c r="AE18" s="801"/>
      <c r="AF18" s="801"/>
      <c r="AG18" s="801"/>
      <c r="AH18" s="801"/>
      <c r="AI18" s="701"/>
      <c r="AJ18" s="702"/>
      <c r="AK18" s="703"/>
      <c r="AL18" s="701"/>
      <c r="AM18" s="702"/>
      <c r="AN18" s="702"/>
      <c r="AO18" s="703"/>
      <c r="AP18" s="709"/>
      <c r="AQ18" s="710"/>
      <c r="AR18" s="668"/>
    </row>
    <row r="19" spans="2:44" ht="25.15" customHeight="1">
      <c r="B19" s="802" t="s">
        <v>9</v>
      </c>
      <c r="C19" s="803"/>
      <c r="D19" s="803"/>
      <c r="E19" s="803"/>
      <c r="F19" s="803"/>
      <c r="G19" s="803"/>
      <c r="H19" s="803"/>
      <c r="I19" s="803"/>
      <c r="J19" s="803"/>
      <c r="K19" s="803"/>
      <c r="L19" s="804"/>
      <c r="M19" s="802" t="s">
        <v>10</v>
      </c>
      <c r="N19" s="803"/>
      <c r="O19" s="803"/>
      <c r="P19" s="803"/>
      <c r="Q19" s="803"/>
      <c r="R19" s="803"/>
      <c r="S19" s="803"/>
      <c r="T19" s="803"/>
      <c r="U19" s="803"/>
      <c r="V19" s="803"/>
      <c r="W19" s="803"/>
      <c r="X19" s="804"/>
      <c r="AB19" s="805">
        <v>2022</v>
      </c>
      <c r="AC19" s="805"/>
      <c r="AD19" s="797" t="s">
        <v>139</v>
      </c>
      <c r="AE19" s="797"/>
      <c r="AF19" s="797"/>
      <c r="AG19" s="797"/>
      <c r="AH19" s="797"/>
      <c r="AI19" s="742">
        <v>1</v>
      </c>
      <c r="AJ19" s="743"/>
      <c r="AK19" s="744"/>
      <c r="AL19" s="742">
        <v>1</v>
      </c>
      <c r="AM19" s="743"/>
      <c r="AN19" s="743"/>
      <c r="AO19" s="744"/>
      <c r="AP19" s="671">
        <f t="shared" si="1"/>
        <v>1</v>
      </c>
      <c r="AQ19" s="671"/>
      <c r="AR19" s="669" t="e">
        <f t="shared" ref="AR19" si="3">SUM(AP19:AQ22)/4</f>
        <v>#DIV/0!</v>
      </c>
    </row>
    <row r="20" spans="2:44" ht="45.4" customHeight="1">
      <c r="B20" s="780" t="s">
        <v>462</v>
      </c>
      <c r="C20" s="592"/>
      <c r="D20" s="592"/>
      <c r="E20" s="592"/>
      <c r="F20" s="592"/>
      <c r="G20" s="592"/>
      <c r="H20" s="592"/>
      <c r="I20" s="592"/>
      <c r="J20" s="592"/>
      <c r="K20" s="592"/>
      <c r="L20" s="593"/>
      <c r="M20" s="780"/>
      <c r="N20" s="592"/>
      <c r="O20" s="592"/>
      <c r="P20" s="592"/>
      <c r="Q20" s="592"/>
      <c r="R20" s="592"/>
      <c r="S20" s="592"/>
      <c r="T20" s="592"/>
      <c r="U20" s="592"/>
      <c r="V20" s="592"/>
      <c r="W20" s="592"/>
      <c r="X20" s="593"/>
      <c r="AA20" s="98"/>
      <c r="AB20" s="805"/>
      <c r="AC20" s="805"/>
      <c r="AD20" s="797" t="s">
        <v>140</v>
      </c>
      <c r="AE20" s="797"/>
      <c r="AF20" s="797"/>
      <c r="AG20" s="797"/>
      <c r="AH20" s="797"/>
      <c r="AI20" s="745"/>
      <c r="AJ20" s="746"/>
      <c r="AK20" s="747"/>
      <c r="AL20" s="745"/>
      <c r="AM20" s="746"/>
      <c r="AN20" s="746"/>
      <c r="AO20" s="747"/>
      <c r="AP20" s="671" t="e">
        <f t="shared" si="1"/>
        <v>#DIV/0!</v>
      </c>
      <c r="AQ20" s="671"/>
      <c r="AR20" s="669"/>
    </row>
    <row r="21" spans="2:44" ht="18.95" customHeight="1">
      <c r="B21" s="791" t="s">
        <v>11</v>
      </c>
      <c r="C21" s="792"/>
      <c r="D21" s="792"/>
      <c r="E21" s="792"/>
      <c r="F21" s="792"/>
      <c r="G21" s="792"/>
      <c r="H21" s="792"/>
      <c r="I21" s="792"/>
      <c r="J21" s="792"/>
      <c r="K21" s="792"/>
      <c r="L21" s="792"/>
      <c r="M21" s="792"/>
      <c r="N21" s="792"/>
      <c r="O21" s="792"/>
      <c r="P21" s="792"/>
      <c r="Q21" s="792"/>
      <c r="R21" s="792"/>
      <c r="S21" s="792"/>
      <c r="T21" s="792"/>
      <c r="U21" s="792"/>
      <c r="V21" s="792"/>
      <c r="W21" s="792"/>
      <c r="X21" s="793"/>
      <c r="AB21" s="805"/>
      <c r="AC21" s="805"/>
      <c r="AD21" s="797" t="s">
        <v>141</v>
      </c>
      <c r="AE21" s="797"/>
      <c r="AF21" s="797"/>
      <c r="AG21" s="797"/>
      <c r="AH21" s="797"/>
      <c r="AI21" s="745"/>
      <c r="AJ21" s="746"/>
      <c r="AK21" s="747"/>
      <c r="AL21" s="745"/>
      <c r="AM21" s="746"/>
      <c r="AN21" s="746"/>
      <c r="AO21" s="747"/>
      <c r="AP21" s="671" t="e">
        <f t="shared" si="1"/>
        <v>#DIV/0!</v>
      </c>
      <c r="AQ21" s="671"/>
      <c r="AR21" s="669"/>
    </row>
    <row r="22" spans="2:44" ht="18.95" customHeight="1">
      <c r="B22" s="790" t="s">
        <v>12</v>
      </c>
      <c r="C22" s="790"/>
      <c r="D22" s="180" t="s">
        <v>13</v>
      </c>
      <c r="E22" s="180" t="s">
        <v>14</v>
      </c>
      <c r="F22" s="180" t="s">
        <v>15</v>
      </c>
      <c r="G22" s="796" t="s">
        <v>16</v>
      </c>
      <c r="H22" s="796"/>
      <c r="I22" s="796"/>
      <c r="J22" s="180" t="s">
        <v>17</v>
      </c>
      <c r="K22" s="796" t="s">
        <v>18</v>
      </c>
      <c r="L22" s="796"/>
      <c r="M22" s="796"/>
      <c r="N22" s="180" t="s">
        <v>19</v>
      </c>
      <c r="O22" s="796" t="s">
        <v>20</v>
      </c>
      <c r="P22" s="796"/>
      <c r="Q22" s="796" t="s">
        <v>21</v>
      </c>
      <c r="R22" s="796"/>
      <c r="S22" s="796"/>
      <c r="T22" s="796" t="s">
        <v>22</v>
      </c>
      <c r="U22" s="796"/>
      <c r="V22" s="796" t="s">
        <v>23</v>
      </c>
      <c r="W22" s="796"/>
      <c r="X22" s="180" t="s">
        <v>24</v>
      </c>
      <c r="AB22" s="805"/>
      <c r="AC22" s="805"/>
      <c r="AD22" s="797" t="s">
        <v>142</v>
      </c>
      <c r="AE22" s="797"/>
      <c r="AF22" s="797"/>
      <c r="AG22" s="797"/>
      <c r="AH22" s="797"/>
      <c r="AI22" s="748"/>
      <c r="AJ22" s="749"/>
      <c r="AK22" s="750"/>
      <c r="AL22" s="748"/>
      <c r="AM22" s="749"/>
      <c r="AN22" s="749"/>
      <c r="AO22" s="750"/>
      <c r="AP22" s="671" t="e">
        <f t="shared" si="1"/>
        <v>#DIV/0!</v>
      </c>
      <c r="AQ22" s="671"/>
      <c r="AR22" s="669"/>
    </row>
    <row r="23" spans="2:44" ht="18.95" customHeight="1">
      <c r="B23" s="790" t="s">
        <v>25</v>
      </c>
      <c r="C23" s="790"/>
      <c r="D23" s="682">
        <f>AL15</f>
        <v>44</v>
      </c>
      <c r="E23" s="592"/>
      <c r="F23" s="593"/>
      <c r="G23" s="682">
        <f>AL16</f>
        <v>43</v>
      </c>
      <c r="H23" s="715"/>
      <c r="I23" s="715"/>
      <c r="J23" s="715"/>
      <c r="K23" s="715"/>
      <c r="L23" s="715"/>
      <c r="M23" s="716"/>
      <c r="N23" s="682">
        <f>AL17</f>
        <v>60</v>
      </c>
      <c r="O23" s="592"/>
      <c r="P23" s="592"/>
      <c r="Q23" s="592"/>
      <c r="R23" s="592"/>
      <c r="S23" s="593"/>
      <c r="T23" s="682">
        <f>AL18</f>
        <v>0</v>
      </c>
      <c r="U23" s="592"/>
      <c r="V23" s="592"/>
      <c r="W23" s="592"/>
      <c r="X23" s="593"/>
      <c r="Z23" s="52"/>
      <c r="AA23" s="52"/>
    </row>
    <row r="24" spans="2:44" ht="18.95" customHeight="1">
      <c r="B24" s="790" t="s">
        <v>26</v>
      </c>
      <c r="C24" s="790"/>
      <c r="D24" s="682">
        <f>AI15</f>
        <v>50</v>
      </c>
      <c r="E24" s="592"/>
      <c r="F24" s="593"/>
      <c r="G24" s="682">
        <f>AI16</f>
        <v>47</v>
      </c>
      <c r="H24" s="592"/>
      <c r="I24" s="592"/>
      <c r="J24" s="592"/>
      <c r="K24" s="592"/>
      <c r="L24" s="592"/>
      <c r="M24" s="593"/>
      <c r="N24" s="682">
        <f>AI17</f>
        <v>66</v>
      </c>
      <c r="O24" s="592"/>
      <c r="P24" s="592"/>
      <c r="Q24" s="592"/>
      <c r="R24" s="592"/>
      <c r="S24" s="593"/>
      <c r="T24" s="682">
        <f>AI18</f>
        <v>0</v>
      </c>
      <c r="U24" s="592"/>
      <c r="V24" s="592"/>
      <c r="W24" s="592"/>
      <c r="X24" s="593"/>
      <c r="Y24" s="97"/>
    </row>
    <row r="25" spans="2:44" ht="19.7" customHeight="1">
      <c r="B25" s="791" t="s">
        <v>47</v>
      </c>
      <c r="C25" s="792"/>
      <c r="D25" s="792"/>
      <c r="E25" s="792"/>
      <c r="F25" s="792"/>
      <c r="G25" s="792"/>
      <c r="H25" s="792"/>
      <c r="I25" s="792"/>
      <c r="J25" s="792"/>
      <c r="K25" s="792"/>
      <c r="L25" s="792"/>
      <c r="M25" s="792"/>
      <c r="N25" s="792"/>
      <c r="O25" s="792"/>
      <c r="P25" s="792"/>
      <c r="Q25" s="792"/>
      <c r="R25" s="792"/>
      <c r="S25" s="792"/>
      <c r="T25" s="792"/>
      <c r="U25" s="792"/>
      <c r="V25" s="792"/>
      <c r="W25" s="792"/>
      <c r="X25" s="793"/>
    </row>
    <row r="26" spans="2:44" ht="25.5">
      <c r="B26" s="180" t="s">
        <v>27</v>
      </c>
      <c r="C26" s="180" t="s">
        <v>28</v>
      </c>
      <c r="D26" s="180" t="s">
        <v>29</v>
      </c>
      <c r="E26" s="180" t="s">
        <v>30</v>
      </c>
      <c r="F26" s="174"/>
      <c r="G26" s="174"/>
      <c r="H26" s="767"/>
      <c r="I26" s="767"/>
      <c r="J26" s="767"/>
      <c r="K26" s="767"/>
      <c r="L26" s="767"/>
      <c r="M26" s="767"/>
      <c r="N26" s="767"/>
      <c r="O26" s="767"/>
      <c r="P26" s="767"/>
      <c r="Q26" s="767"/>
      <c r="R26" s="767"/>
      <c r="S26" s="795"/>
      <c r="T26" s="795"/>
      <c r="U26" s="795"/>
      <c r="V26" s="795"/>
      <c r="W26" s="795"/>
      <c r="X26" s="768"/>
    </row>
    <row r="27" spans="2:44" ht="17.649999999999999" customHeight="1">
      <c r="B27" s="181" t="s">
        <v>31</v>
      </c>
      <c r="C27" s="686">
        <f>IF(ISERROR($D$23/$D$24),0,$D$23/$D$24)</f>
        <v>0.88</v>
      </c>
      <c r="D27" s="686">
        <f>$E$18</f>
        <v>0.7</v>
      </c>
      <c r="E27" s="171">
        <f>$O$14</f>
        <v>1</v>
      </c>
      <c r="H27" s="794"/>
      <c r="I27" s="794"/>
      <c r="J27" s="761"/>
      <c r="K27" s="761"/>
      <c r="L27" s="104"/>
      <c r="M27" s="104"/>
      <c r="N27" s="794"/>
      <c r="O27" s="794"/>
      <c r="P27" s="794"/>
      <c r="Q27" s="794"/>
      <c r="R27" s="794"/>
      <c r="S27" s="786"/>
      <c r="T27" s="786"/>
      <c r="U27" s="786"/>
      <c r="V27" s="786"/>
      <c r="W27" s="786"/>
      <c r="X27" s="787"/>
    </row>
    <row r="28" spans="2:44" ht="17.649999999999999" customHeight="1">
      <c r="B28" s="181" t="s">
        <v>32</v>
      </c>
      <c r="C28" s="687"/>
      <c r="D28" s="687"/>
      <c r="E28" s="171">
        <f t="shared" ref="E28:E37" si="4">$O$14</f>
        <v>1</v>
      </c>
      <c r="H28" s="761"/>
      <c r="I28" s="761"/>
      <c r="J28" s="761"/>
      <c r="K28" s="761"/>
      <c r="L28" s="12"/>
      <c r="M28" s="104"/>
      <c r="N28" s="761"/>
      <c r="O28" s="761"/>
      <c r="P28" s="761"/>
      <c r="Q28" s="761"/>
      <c r="R28" s="761"/>
      <c r="S28" s="786"/>
      <c r="T28" s="786"/>
      <c r="U28" s="786"/>
      <c r="V28" s="786"/>
      <c r="W28" s="786"/>
      <c r="X28" s="787"/>
    </row>
    <row r="29" spans="2:44" ht="17.649999999999999" customHeight="1">
      <c r="B29" s="181" t="s">
        <v>33</v>
      </c>
      <c r="C29" s="688"/>
      <c r="D29" s="688"/>
      <c r="E29" s="171">
        <f t="shared" si="4"/>
        <v>1</v>
      </c>
      <c r="H29" s="761"/>
      <c r="I29" s="761"/>
      <c r="J29" s="761"/>
      <c r="K29" s="761"/>
      <c r="L29" s="12"/>
      <c r="M29" s="104"/>
      <c r="N29" s="761"/>
      <c r="O29" s="761"/>
      <c r="P29" s="761"/>
      <c r="Q29" s="761"/>
      <c r="R29" s="761"/>
      <c r="S29" s="786"/>
      <c r="T29" s="786"/>
      <c r="U29" s="786"/>
      <c r="V29" s="786"/>
      <c r="W29" s="786"/>
      <c r="X29" s="787"/>
    </row>
    <row r="30" spans="2:44" ht="17.649999999999999" customHeight="1">
      <c r="B30" s="181" t="s">
        <v>34</v>
      </c>
      <c r="C30" s="686">
        <f>IF(ISERROR($G$23/$G$24),0,$G$23/$G$24)</f>
        <v>0.91489361702127658</v>
      </c>
      <c r="D30" s="686">
        <f t="shared" ref="D30:D36" si="5">$E$18</f>
        <v>0.7</v>
      </c>
      <c r="E30" s="171">
        <f t="shared" si="4"/>
        <v>1</v>
      </c>
      <c r="H30" s="761"/>
      <c r="I30" s="761"/>
      <c r="J30" s="761"/>
      <c r="K30" s="761"/>
      <c r="L30" s="12"/>
      <c r="M30" s="104"/>
      <c r="N30" s="761"/>
      <c r="O30" s="761"/>
      <c r="P30" s="761"/>
      <c r="Q30" s="761"/>
      <c r="R30" s="761"/>
      <c r="S30" s="786"/>
      <c r="T30" s="786"/>
      <c r="U30" s="786"/>
      <c r="V30" s="786"/>
      <c r="W30" s="786"/>
      <c r="X30" s="787"/>
    </row>
    <row r="31" spans="2:44" ht="17.649999999999999" customHeight="1">
      <c r="B31" s="181" t="s">
        <v>35</v>
      </c>
      <c r="C31" s="687"/>
      <c r="D31" s="687"/>
      <c r="E31" s="171">
        <f t="shared" si="4"/>
        <v>1</v>
      </c>
      <c r="H31" s="761"/>
      <c r="I31" s="761"/>
      <c r="J31" s="761"/>
      <c r="K31" s="761"/>
      <c r="L31" s="12"/>
      <c r="M31" s="104"/>
      <c r="N31" s="761"/>
      <c r="O31" s="761"/>
      <c r="P31" s="761"/>
      <c r="Q31" s="761"/>
      <c r="R31" s="761"/>
      <c r="S31" s="786"/>
      <c r="T31" s="786"/>
      <c r="U31" s="786"/>
      <c r="V31" s="786"/>
      <c r="W31" s="786"/>
      <c r="X31" s="787"/>
    </row>
    <row r="32" spans="2:44" ht="17.649999999999999" customHeight="1">
      <c r="B32" s="181" t="s">
        <v>36</v>
      </c>
      <c r="C32" s="688"/>
      <c r="D32" s="688"/>
      <c r="E32" s="171">
        <f t="shared" si="4"/>
        <v>1</v>
      </c>
      <c r="H32" s="761"/>
      <c r="I32" s="761"/>
      <c r="J32" s="761"/>
      <c r="K32" s="761"/>
      <c r="L32" s="12"/>
      <c r="M32" s="104"/>
      <c r="N32" s="761"/>
      <c r="O32" s="761"/>
      <c r="P32" s="761"/>
      <c r="Q32" s="761"/>
      <c r="R32" s="761"/>
      <c r="S32" s="786"/>
      <c r="T32" s="786"/>
      <c r="U32" s="786"/>
      <c r="V32" s="786"/>
      <c r="W32" s="786"/>
      <c r="X32" s="787"/>
    </row>
    <row r="33" spans="2:27" ht="17.649999999999999" customHeight="1">
      <c r="B33" s="181" t="s">
        <v>37</v>
      </c>
      <c r="C33" s="686">
        <f>IF(ISERROR($N$23/$N$24),0,$N$23/$N$24)</f>
        <v>0.90909090909090906</v>
      </c>
      <c r="D33" s="686">
        <f t="shared" si="5"/>
        <v>0.7</v>
      </c>
      <c r="E33" s="171">
        <f t="shared" si="4"/>
        <v>1</v>
      </c>
      <c r="H33" s="761"/>
      <c r="I33" s="761"/>
      <c r="J33" s="761"/>
      <c r="K33" s="761"/>
      <c r="L33" s="12"/>
      <c r="M33" s="104"/>
      <c r="N33" s="761"/>
      <c r="O33" s="761"/>
      <c r="P33" s="761"/>
      <c r="Q33" s="761"/>
      <c r="R33" s="761"/>
      <c r="S33" s="786"/>
      <c r="T33" s="786"/>
      <c r="U33" s="786"/>
      <c r="V33" s="786"/>
      <c r="W33" s="786"/>
      <c r="X33" s="787"/>
    </row>
    <row r="34" spans="2:27" ht="17.649999999999999" customHeight="1">
      <c r="B34" s="181" t="s">
        <v>38</v>
      </c>
      <c r="C34" s="687"/>
      <c r="D34" s="687"/>
      <c r="E34" s="171">
        <f t="shared" si="4"/>
        <v>1</v>
      </c>
      <c r="H34" s="761"/>
      <c r="I34" s="761"/>
      <c r="J34" s="761"/>
      <c r="K34" s="761"/>
      <c r="L34" s="12"/>
      <c r="M34" s="104"/>
      <c r="N34" s="761"/>
      <c r="O34" s="761"/>
      <c r="P34" s="761"/>
      <c r="Q34" s="761"/>
      <c r="R34" s="761"/>
      <c r="S34" s="786"/>
      <c r="T34" s="786"/>
      <c r="U34" s="786"/>
      <c r="V34" s="786"/>
      <c r="W34" s="786"/>
      <c r="X34" s="787"/>
    </row>
    <row r="35" spans="2:27" ht="17.649999999999999" customHeight="1">
      <c r="B35" s="181" t="s">
        <v>39</v>
      </c>
      <c r="C35" s="688"/>
      <c r="D35" s="688"/>
      <c r="E35" s="171">
        <f t="shared" si="4"/>
        <v>1</v>
      </c>
      <c r="H35" s="761"/>
      <c r="I35" s="761"/>
      <c r="J35" s="761"/>
      <c r="K35" s="761"/>
      <c r="L35" s="12"/>
      <c r="M35" s="104"/>
      <c r="N35" s="761"/>
      <c r="O35" s="761"/>
      <c r="P35" s="761"/>
      <c r="Q35" s="761"/>
      <c r="R35" s="761"/>
      <c r="S35" s="786"/>
      <c r="T35" s="786"/>
      <c r="U35" s="786"/>
      <c r="V35" s="786"/>
      <c r="W35" s="786"/>
      <c r="X35" s="787"/>
    </row>
    <row r="36" spans="2:27" ht="17.649999999999999" customHeight="1">
      <c r="B36" s="181" t="s">
        <v>40</v>
      </c>
      <c r="C36" s="686">
        <f>IF(ISERROR($T$23/$T$24),0,$T$23/$T$24)</f>
        <v>0</v>
      </c>
      <c r="D36" s="686">
        <f t="shared" si="5"/>
        <v>0.7</v>
      </c>
      <c r="E36" s="171">
        <f t="shared" si="4"/>
        <v>1</v>
      </c>
      <c r="H36" s="761"/>
      <c r="I36" s="761"/>
      <c r="J36" s="761"/>
      <c r="K36" s="761"/>
      <c r="L36" s="12"/>
      <c r="M36" s="104"/>
      <c r="N36" s="761"/>
      <c r="O36" s="761"/>
      <c r="P36" s="761"/>
      <c r="Q36" s="761"/>
      <c r="R36" s="761"/>
      <c r="S36" s="786"/>
      <c r="T36" s="786"/>
      <c r="U36" s="786"/>
      <c r="V36" s="786"/>
      <c r="W36" s="786"/>
      <c r="X36" s="787"/>
    </row>
    <row r="37" spans="2:27" ht="17.649999999999999" customHeight="1">
      <c r="B37" s="181" t="s">
        <v>41</v>
      </c>
      <c r="C37" s="687"/>
      <c r="D37" s="687"/>
      <c r="E37" s="171">
        <f t="shared" si="4"/>
        <v>1</v>
      </c>
      <c r="H37" s="761"/>
      <c r="I37" s="761"/>
      <c r="J37" s="761"/>
      <c r="K37" s="761"/>
      <c r="L37" s="12"/>
      <c r="M37" s="104"/>
      <c r="N37" s="761"/>
      <c r="O37" s="761"/>
      <c r="P37" s="761"/>
      <c r="Q37" s="761"/>
      <c r="R37" s="761"/>
      <c r="S37" s="786"/>
      <c r="T37" s="786"/>
      <c r="U37" s="786"/>
      <c r="V37" s="786"/>
      <c r="W37" s="786"/>
      <c r="X37" s="787"/>
    </row>
    <row r="38" spans="2:27" ht="17.649999999999999" customHeight="1">
      <c r="B38" s="181" t="s">
        <v>42</v>
      </c>
      <c r="C38" s="688"/>
      <c r="D38" s="688"/>
      <c r="E38" s="171">
        <v>0</v>
      </c>
      <c r="F38" s="176"/>
      <c r="G38" s="176"/>
      <c r="H38" s="775"/>
      <c r="I38" s="775"/>
      <c r="J38" s="775"/>
      <c r="K38" s="775"/>
      <c r="L38" s="7"/>
      <c r="M38" s="106"/>
      <c r="N38" s="775"/>
      <c r="O38" s="775"/>
      <c r="P38" s="775"/>
      <c r="Q38" s="775"/>
      <c r="R38" s="775"/>
      <c r="S38" s="788"/>
      <c r="T38" s="788"/>
      <c r="U38" s="788"/>
      <c r="V38" s="788"/>
      <c r="W38" s="788"/>
      <c r="X38" s="789"/>
    </row>
    <row r="39" spans="2:27" ht="8.4499999999999993" customHeight="1">
      <c r="B39" s="173"/>
      <c r="C39" s="174"/>
      <c r="D39" s="174"/>
      <c r="E39" s="174"/>
      <c r="F39" s="174"/>
      <c r="G39" s="174"/>
      <c r="H39" s="174"/>
      <c r="I39" s="174"/>
      <c r="J39" s="174"/>
      <c r="K39" s="174"/>
      <c r="L39" s="174"/>
      <c r="M39" s="174"/>
      <c r="N39" s="174"/>
      <c r="O39" s="174"/>
      <c r="P39" s="174"/>
      <c r="Q39" s="174"/>
      <c r="R39" s="174"/>
      <c r="S39" s="174"/>
      <c r="T39" s="174"/>
      <c r="U39" s="174"/>
      <c r="V39" s="174"/>
      <c r="W39" s="174"/>
      <c r="X39" s="175"/>
    </row>
    <row r="40" spans="2:27" ht="15.75" customHeight="1">
      <c r="B40" s="762" t="s">
        <v>50</v>
      </c>
      <c r="C40" s="763"/>
      <c r="D40" s="763"/>
      <c r="E40" s="763"/>
      <c r="F40" s="763"/>
      <c r="G40" s="763"/>
      <c r="H40" s="763"/>
      <c r="I40" s="763"/>
      <c r="J40" s="763"/>
      <c r="K40" s="763"/>
      <c r="L40" s="763"/>
      <c r="M40" s="763"/>
      <c r="N40" s="763"/>
      <c r="O40" s="763"/>
      <c r="P40" s="763"/>
      <c r="Q40" s="763"/>
      <c r="R40" s="763"/>
      <c r="S40" s="763"/>
      <c r="T40" s="763"/>
      <c r="U40" s="763"/>
      <c r="V40" s="763"/>
      <c r="W40" s="763"/>
      <c r="X40" s="764"/>
    </row>
    <row r="41" spans="2:27" ht="182.25" customHeight="1">
      <c r="B41" s="765" t="s">
        <v>463</v>
      </c>
      <c r="C41" s="765"/>
      <c r="D41" s="765"/>
      <c r="E41" s="765"/>
      <c r="F41" s="765"/>
      <c r="G41" s="765"/>
      <c r="H41" s="765"/>
      <c r="I41" s="765"/>
      <c r="J41" s="765"/>
      <c r="K41" s="765"/>
      <c r="L41" s="765"/>
      <c r="M41" s="765"/>
      <c r="N41" s="765"/>
      <c r="O41" s="765"/>
      <c r="P41" s="765"/>
      <c r="Q41" s="765"/>
      <c r="R41" s="765"/>
      <c r="S41" s="765"/>
      <c r="T41" s="765"/>
      <c r="U41" s="765"/>
      <c r="V41" s="765"/>
      <c r="W41" s="765"/>
      <c r="X41" s="765"/>
      <c r="Y41" s="109"/>
      <c r="Z41" s="110"/>
      <c r="AA41" s="110"/>
    </row>
    <row r="42" spans="2:27" ht="10.5" customHeight="1">
      <c r="B42" s="766"/>
      <c r="C42" s="767"/>
      <c r="D42" s="767"/>
      <c r="E42" s="767"/>
      <c r="F42" s="767"/>
      <c r="G42" s="767"/>
      <c r="H42" s="767"/>
      <c r="I42" s="767"/>
      <c r="J42" s="767"/>
      <c r="K42" s="767"/>
      <c r="L42" s="767"/>
      <c r="M42" s="767"/>
      <c r="N42" s="767"/>
      <c r="O42" s="767"/>
      <c r="P42" s="767"/>
      <c r="Q42" s="767"/>
      <c r="R42" s="767"/>
      <c r="S42" s="767"/>
      <c r="T42" s="767"/>
      <c r="U42" s="767"/>
      <c r="V42" s="767"/>
      <c r="W42" s="767"/>
      <c r="X42" s="768"/>
      <c r="Y42" s="111"/>
      <c r="Z42" s="57"/>
      <c r="AA42" s="58"/>
    </row>
    <row r="43" spans="2:27" ht="18" customHeight="1">
      <c r="B43" s="769" t="s">
        <v>43</v>
      </c>
      <c r="C43" s="770"/>
      <c r="D43" s="770"/>
      <c r="E43" s="770"/>
      <c r="F43" s="770"/>
      <c r="G43" s="770"/>
      <c r="H43" s="770"/>
      <c r="I43" s="770"/>
      <c r="J43" s="770"/>
      <c r="K43" s="770"/>
      <c r="L43" s="770"/>
      <c r="M43" s="770"/>
      <c r="N43" s="770"/>
      <c r="O43" s="770"/>
      <c r="P43" s="770"/>
      <c r="Q43" s="770"/>
      <c r="R43" s="770"/>
      <c r="S43" s="770"/>
      <c r="T43" s="770"/>
      <c r="U43" s="770"/>
      <c r="V43" s="770"/>
      <c r="W43" s="770"/>
      <c r="X43" s="771"/>
      <c r="Y43" s="111"/>
      <c r="Z43" s="57"/>
      <c r="AA43" s="58"/>
    </row>
    <row r="44" spans="2:27" ht="32.25" customHeight="1">
      <c r="B44" s="772"/>
      <c r="C44" s="773"/>
      <c r="D44" s="773"/>
      <c r="E44" s="773"/>
      <c r="F44" s="773"/>
      <c r="G44" s="773"/>
      <c r="H44" s="773"/>
      <c r="I44" s="773"/>
      <c r="J44" s="773"/>
      <c r="K44" s="773"/>
      <c r="L44" s="773"/>
      <c r="M44" s="773"/>
      <c r="N44" s="773"/>
      <c r="O44" s="773"/>
      <c r="P44" s="773"/>
      <c r="Q44" s="773"/>
      <c r="R44" s="773"/>
      <c r="S44" s="773"/>
      <c r="T44" s="773"/>
      <c r="U44" s="773"/>
      <c r="V44" s="773"/>
      <c r="W44" s="773"/>
      <c r="X44" s="774"/>
      <c r="Y44" s="111"/>
      <c r="Z44" s="57"/>
      <c r="AA44" s="58"/>
    </row>
    <row r="45" spans="2:27" ht="8.4499999999999993" customHeight="1">
      <c r="B45" s="173"/>
      <c r="C45" s="174"/>
      <c r="D45" s="174"/>
      <c r="E45" s="174"/>
      <c r="F45" s="174"/>
      <c r="G45" s="767"/>
      <c r="H45" s="767"/>
      <c r="I45" s="767"/>
      <c r="J45" s="767"/>
      <c r="K45" s="767"/>
      <c r="L45" s="767"/>
      <c r="M45" s="174"/>
      <c r="N45" s="174"/>
      <c r="O45" s="174"/>
      <c r="P45" s="174"/>
      <c r="Q45" s="174"/>
      <c r="R45" s="174"/>
      <c r="S45" s="174"/>
      <c r="T45" s="174"/>
      <c r="U45" s="174"/>
      <c r="V45" s="174"/>
      <c r="W45" s="174"/>
      <c r="X45" s="175"/>
      <c r="Y45" s="111"/>
      <c r="Z45" s="57"/>
      <c r="AA45" s="58"/>
    </row>
    <row r="46" spans="2:27" ht="12.75">
      <c r="B46" s="776" t="s">
        <v>44</v>
      </c>
      <c r="C46" s="777"/>
      <c r="D46" s="777"/>
      <c r="E46" s="777"/>
      <c r="F46" s="777"/>
      <c r="G46" s="777"/>
      <c r="H46" s="777"/>
      <c r="J46" s="112" t="s">
        <v>45</v>
      </c>
      <c r="L46" s="941" t="s">
        <v>199</v>
      </c>
      <c r="M46" s="942"/>
      <c r="O46" s="104" t="s">
        <v>46</v>
      </c>
      <c r="Q46" s="780"/>
      <c r="R46" s="593"/>
      <c r="X46" s="178"/>
      <c r="Y46" s="111"/>
      <c r="Z46" s="57"/>
      <c r="AA46" s="58"/>
    </row>
    <row r="47" spans="2:27" ht="8.4499999999999993" customHeight="1">
      <c r="B47" s="114"/>
      <c r="I47" s="781"/>
      <c r="J47" s="781"/>
      <c r="K47" s="781"/>
      <c r="L47" s="781"/>
      <c r="M47" s="781"/>
      <c r="N47" s="781"/>
      <c r="O47" s="781"/>
      <c r="P47" s="781"/>
      <c r="Q47" s="781"/>
      <c r="R47" s="781"/>
      <c r="S47" s="781"/>
      <c r="T47" s="781"/>
      <c r="U47" s="781"/>
      <c r="V47" s="781"/>
      <c r="W47" s="781"/>
      <c r="X47" s="782"/>
      <c r="Y47" s="111"/>
      <c r="Z47" s="57"/>
      <c r="AA47" s="58"/>
    </row>
    <row r="48" spans="2:27" ht="35.25" customHeight="1">
      <c r="B48" s="783" t="s">
        <v>57</v>
      </c>
      <c r="C48" s="784"/>
      <c r="D48" s="784"/>
      <c r="E48" s="784"/>
      <c r="F48" s="784"/>
      <c r="G48" s="784"/>
      <c r="H48" s="784"/>
      <c r="I48" s="784"/>
      <c r="J48" s="784"/>
      <c r="K48" s="784"/>
      <c r="L48" s="784"/>
      <c r="M48" s="784"/>
      <c r="N48" s="784"/>
      <c r="O48" s="784"/>
      <c r="P48" s="784"/>
      <c r="Q48" s="784"/>
      <c r="R48" s="784"/>
      <c r="S48" s="784"/>
      <c r="T48" s="784"/>
      <c r="U48" s="784"/>
      <c r="V48" s="784"/>
      <c r="W48" s="784"/>
      <c r="X48" s="785"/>
      <c r="Y48" s="111"/>
      <c r="Z48" s="57"/>
      <c r="AA48" s="58"/>
    </row>
    <row r="49" spans="2:27" ht="8.4499999999999993" customHeight="1">
      <c r="B49" s="115"/>
      <c r="C49" s="176"/>
      <c r="D49" s="176"/>
      <c r="E49" s="176"/>
      <c r="F49" s="176"/>
      <c r="G49" s="182"/>
      <c r="H49" s="176"/>
      <c r="I49" s="16"/>
      <c r="J49" s="35"/>
      <c r="K49" s="7"/>
      <c r="L49" s="176"/>
      <c r="M49" s="176"/>
      <c r="N49" s="176"/>
      <c r="O49" s="176"/>
      <c r="P49" s="176"/>
      <c r="Q49" s="176"/>
      <c r="R49" s="176"/>
      <c r="S49" s="176"/>
      <c r="T49" s="176"/>
      <c r="U49" s="176"/>
      <c r="V49" s="176"/>
      <c r="W49" s="176"/>
      <c r="X49" s="179"/>
      <c r="Y49" s="111"/>
      <c r="Z49" s="57"/>
      <c r="AA49" s="58"/>
    </row>
    <row r="50" spans="2:27" ht="13.5" customHeight="1">
      <c r="G50" s="761"/>
      <c r="H50" s="761"/>
      <c r="I50" s="761"/>
      <c r="J50" s="761"/>
      <c r="K50" s="761"/>
      <c r="L50" s="761"/>
      <c r="M50" s="761"/>
      <c r="N50" s="761"/>
      <c r="O50" s="761"/>
      <c r="P50" s="761"/>
      <c r="Q50" s="761"/>
      <c r="R50" s="761"/>
      <c r="S50" s="761"/>
      <c r="T50" s="761"/>
      <c r="U50" s="761"/>
      <c r="V50" s="761"/>
      <c r="W50" s="761"/>
      <c r="X50" s="761"/>
      <c r="Y50" s="111"/>
      <c r="Z50" s="57"/>
      <c r="AA50" s="58"/>
    </row>
  </sheetData>
  <sheetProtection selectLockedCells="1" selectUnlockedCells="1"/>
  <mergeCells count="212">
    <mergeCell ref="AI17:AK18"/>
    <mergeCell ref="AL17:AO18"/>
    <mergeCell ref="AP17:AQ18"/>
    <mergeCell ref="AI19:AK22"/>
    <mergeCell ref="AL19:AO22"/>
    <mergeCell ref="C27:C29"/>
    <mergeCell ref="D27:D29"/>
    <mergeCell ref="C30:C32"/>
    <mergeCell ref="D30:D32"/>
    <mergeCell ref="AP19:AQ19"/>
    <mergeCell ref="AP20:AQ20"/>
    <mergeCell ref="M19:X19"/>
    <mergeCell ref="AB19:AC22"/>
    <mergeCell ref="AD19:AH19"/>
    <mergeCell ref="E18:F18"/>
    <mergeCell ref="G18:L18"/>
    <mergeCell ref="M18:Q18"/>
    <mergeCell ref="R18:U18"/>
    <mergeCell ref="V18:X18"/>
    <mergeCell ref="AP22:AQ22"/>
    <mergeCell ref="B21:X21"/>
    <mergeCell ref="AD21:AH21"/>
    <mergeCell ref="AP21:AQ21"/>
    <mergeCell ref="B22:C2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B20:L20"/>
    <mergeCell ref="M20:X20"/>
    <mergeCell ref="AD20:AH20"/>
    <mergeCell ref="B19:L19"/>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E16:F17"/>
    <mergeCell ref="G16:L17"/>
    <mergeCell ref="M16:X16"/>
    <mergeCell ref="AD16:AH16"/>
    <mergeCell ref="AI16:AK16"/>
    <mergeCell ref="AL16:AO16"/>
    <mergeCell ref="AD18:AH18"/>
    <mergeCell ref="C18:D18"/>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73" firstPageNumber="0" pageOrder="overThenDown" orientation="portrait"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0">
    <tabColor theme="9" tint="-0.249977111117893"/>
    <pageSetUpPr fitToPage="1"/>
  </sheetPr>
  <dimension ref="B1:AY50"/>
  <sheetViews>
    <sheetView zoomScale="80" zoomScaleNormal="80" zoomScaleSheetLayoutView="100" workbookViewId="0">
      <selection activeCell="AL19" sqref="AL19:AO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7.5" style="23" customWidth="1"/>
    <col min="45" max="46" width="4.625" style="23"/>
    <col min="47" max="47" width="5" style="23" customWidth="1"/>
    <col min="48" max="48" width="26.25" style="23" customWidth="1"/>
    <col min="49" max="49" width="13.5" style="23" customWidth="1"/>
    <col min="50" max="50" width="12.375" style="23" customWidth="1"/>
    <col min="51" max="51" width="13.625" style="23" customWidth="1"/>
    <col min="52" max="16384" width="4.625" style="23"/>
  </cols>
  <sheetData>
    <row r="1" spans="2:51"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51"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51"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c r="AU3" s="187" t="s">
        <v>451</v>
      </c>
      <c r="AV3" s="188" t="s">
        <v>452</v>
      </c>
      <c r="AW3" s="187" t="s">
        <v>453</v>
      </c>
      <c r="AX3" s="189" t="s">
        <v>454</v>
      </c>
      <c r="AY3" s="187" t="s">
        <v>455</v>
      </c>
    </row>
    <row r="4" spans="2:51"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c r="AU4" s="190">
        <v>4</v>
      </c>
      <c r="AV4" s="191" t="s">
        <v>169</v>
      </c>
      <c r="AW4" s="190" t="s">
        <v>456</v>
      </c>
      <c r="AX4" s="192">
        <v>43555</v>
      </c>
      <c r="AY4" s="193">
        <f>69/83</f>
        <v>0.83132530120481929</v>
      </c>
    </row>
    <row r="5" spans="2:51"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c r="AU5" s="190">
        <v>4</v>
      </c>
      <c r="AV5" s="191" t="s">
        <v>169</v>
      </c>
      <c r="AW5" s="190" t="s">
        <v>456</v>
      </c>
      <c r="AX5" s="192">
        <v>43646</v>
      </c>
      <c r="AY5" s="193">
        <f>67/83</f>
        <v>0.80722891566265065</v>
      </c>
    </row>
    <row r="6" spans="2:51"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c r="AU6" s="190">
        <v>4</v>
      </c>
      <c r="AV6" s="191" t="s">
        <v>169</v>
      </c>
      <c r="AW6" s="190" t="s">
        <v>456</v>
      </c>
      <c r="AX6" s="192">
        <v>43738</v>
      </c>
      <c r="AY6" s="193">
        <f>65/81</f>
        <v>0.80246913580246915</v>
      </c>
    </row>
    <row r="7" spans="2:51" ht="14.25" customHeight="1">
      <c r="B7" s="645" t="s">
        <v>76</v>
      </c>
      <c r="C7" s="646"/>
      <c r="D7" s="646"/>
      <c r="E7" s="646"/>
      <c r="F7" s="647"/>
      <c r="G7" s="651" t="s">
        <v>86</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95">
        <v>166</v>
      </c>
      <c r="AJ7" s="696"/>
      <c r="AK7" s="697"/>
      <c r="AL7" s="695">
        <v>135</v>
      </c>
      <c r="AM7" s="696"/>
      <c r="AN7" s="696"/>
      <c r="AO7" s="697"/>
      <c r="AP7" s="705">
        <f>AL7/AI7</f>
        <v>0.81325301204819278</v>
      </c>
      <c r="AQ7" s="706"/>
      <c r="AR7" s="668">
        <v>0.8</v>
      </c>
      <c r="AU7" s="190">
        <v>4</v>
      </c>
      <c r="AV7" s="191" t="s">
        <v>169</v>
      </c>
      <c r="AW7" s="190" t="s">
        <v>456</v>
      </c>
      <c r="AX7" s="192">
        <v>43830</v>
      </c>
      <c r="AY7" s="193">
        <f>69/82</f>
        <v>0.84146341463414631</v>
      </c>
    </row>
    <row r="8" spans="2:51"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701"/>
      <c r="AJ8" s="702"/>
      <c r="AK8" s="703"/>
      <c r="AL8" s="701"/>
      <c r="AM8" s="702"/>
      <c r="AN8" s="702"/>
      <c r="AO8" s="703"/>
      <c r="AP8" s="709" t="e">
        <f t="shared" ref="AP8:AP10" si="0">AL8/AI8</f>
        <v>#DIV/0!</v>
      </c>
      <c r="AQ8" s="710"/>
      <c r="AR8" s="668"/>
      <c r="AU8" s="190">
        <v>4</v>
      </c>
      <c r="AV8" s="191" t="s">
        <v>169</v>
      </c>
      <c r="AW8" s="190" t="s">
        <v>456</v>
      </c>
      <c r="AX8" s="192">
        <v>43921</v>
      </c>
      <c r="AY8" s="193">
        <f>147/175</f>
        <v>0.84</v>
      </c>
    </row>
    <row r="9" spans="2:51"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95">
        <v>162</v>
      </c>
      <c r="AJ9" s="696"/>
      <c r="AK9" s="697"/>
      <c r="AL9" s="695">
        <v>130</v>
      </c>
      <c r="AM9" s="696"/>
      <c r="AN9" s="696"/>
      <c r="AO9" s="697"/>
      <c r="AP9" s="705">
        <f t="shared" si="0"/>
        <v>0.80246913580246915</v>
      </c>
      <c r="AQ9" s="706"/>
      <c r="AR9" s="668"/>
      <c r="AU9" s="190">
        <v>4</v>
      </c>
      <c r="AV9" s="191" t="s">
        <v>169</v>
      </c>
      <c r="AW9" s="190" t="s">
        <v>456</v>
      </c>
      <c r="AX9" s="192">
        <v>44012</v>
      </c>
      <c r="AY9" s="193">
        <f>150/177</f>
        <v>0.84745762711864403</v>
      </c>
    </row>
    <row r="10" spans="2:51"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01"/>
      <c r="AJ10" s="702"/>
      <c r="AK10" s="703"/>
      <c r="AL10" s="701"/>
      <c r="AM10" s="702"/>
      <c r="AN10" s="702"/>
      <c r="AO10" s="703"/>
      <c r="AP10" s="709" t="e">
        <f t="shared" si="0"/>
        <v>#DIV/0!</v>
      </c>
      <c r="AQ10" s="710"/>
      <c r="AR10" s="668"/>
      <c r="AU10" s="190">
        <v>4</v>
      </c>
      <c r="AV10" s="191" t="s">
        <v>169</v>
      </c>
      <c r="AW10" s="190" t="s">
        <v>456</v>
      </c>
      <c r="AX10" s="192">
        <v>44104</v>
      </c>
      <c r="AY10" s="193">
        <f>92/107</f>
        <v>0.85981308411214952</v>
      </c>
    </row>
    <row r="11" spans="2:51" ht="38.25" customHeight="1">
      <c r="B11" s="640" t="s">
        <v>169</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742">
        <v>354</v>
      </c>
      <c r="AJ11" s="743"/>
      <c r="AK11" s="744"/>
      <c r="AL11" s="742">
        <v>298</v>
      </c>
      <c r="AM11" s="743"/>
      <c r="AN11" s="743"/>
      <c r="AO11" s="744"/>
      <c r="AP11" s="751">
        <f>AL11/AI11</f>
        <v>0.84180790960451979</v>
      </c>
      <c r="AQ11" s="752"/>
      <c r="AR11" s="669">
        <v>0.82</v>
      </c>
      <c r="AU11" s="190">
        <v>4</v>
      </c>
      <c r="AV11" s="191" t="s">
        <v>169</v>
      </c>
      <c r="AW11" s="190" t="s">
        <v>456</v>
      </c>
      <c r="AX11" s="192">
        <v>44196</v>
      </c>
      <c r="AY11" s="193">
        <f>94/107</f>
        <v>0.87850467289719625</v>
      </c>
    </row>
    <row r="12" spans="2:51" ht="14.2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748"/>
      <c r="AJ12" s="749"/>
      <c r="AK12" s="750"/>
      <c r="AL12" s="748"/>
      <c r="AM12" s="749"/>
      <c r="AN12" s="749"/>
      <c r="AO12" s="750"/>
      <c r="AP12" s="755"/>
      <c r="AQ12" s="756"/>
      <c r="AR12" s="669"/>
      <c r="AU12" s="190">
        <v>4</v>
      </c>
      <c r="AV12" s="191" t="s">
        <v>169</v>
      </c>
      <c r="AW12" s="190" t="s">
        <v>456</v>
      </c>
      <c r="AX12" s="192">
        <v>44286</v>
      </c>
      <c r="AY12" s="193">
        <f>117/127</f>
        <v>0.92125984251968507</v>
      </c>
    </row>
    <row r="13" spans="2:51"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742">
        <v>215</v>
      </c>
      <c r="AJ13" s="743"/>
      <c r="AK13" s="744"/>
      <c r="AL13" s="742">
        <v>173</v>
      </c>
      <c r="AM13" s="743"/>
      <c r="AN13" s="743"/>
      <c r="AO13" s="744"/>
      <c r="AP13" s="751">
        <f t="shared" ref="AP13:AP22" si="1">AL13/AI13</f>
        <v>0.8046511627906977</v>
      </c>
      <c r="AQ13" s="752"/>
      <c r="AR13" s="669"/>
      <c r="AU13" s="190">
        <v>4</v>
      </c>
      <c r="AV13" s="191" t="s">
        <v>169</v>
      </c>
      <c r="AW13" s="190" t="s">
        <v>456</v>
      </c>
      <c r="AX13" s="192">
        <v>44377</v>
      </c>
      <c r="AY13" s="193">
        <f>118/127</f>
        <v>0.92913385826771655</v>
      </c>
    </row>
    <row r="14" spans="2:51" ht="29.25" customHeight="1">
      <c r="B14" s="632" t="s">
        <v>305</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748"/>
      <c r="AJ14" s="749"/>
      <c r="AK14" s="750"/>
      <c r="AL14" s="748"/>
      <c r="AM14" s="749"/>
      <c r="AN14" s="749"/>
      <c r="AO14" s="750"/>
      <c r="AP14" s="755"/>
      <c r="AQ14" s="756"/>
      <c r="AR14" s="669"/>
      <c r="AU14" s="190">
        <v>4</v>
      </c>
      <c r="AV14" s="191" t="s">
        <v>169</v>
      </c>
      <c r="AW14" s="190" t="s">
        <v>456</v>
      </c>
      <c r="AX14" s="192">
        <v>44469</v>
      </c>
      <c r="AY14" s="193"/>
    </row>
    <row r="15" spans="2:51"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95">
        <v>255</v>
      </c>
      <c r="AJ15" s="696"/>
      <c r="AK15" s="697"/>
      <c r="AL15" s="695">
        <v>235</v>
      </c>
      <c r="AM15" s="696"/>
      <c r="AN15" s="696"/>
      <c r="AO15" s="697"/>
      <c r="AP15" s="705">
        <f t="shared" si="1"/>
        <v>0.92156862745098034</v>
      </c>
      <c r="AQ15" s="706"/>
      <c r="AR15" s="668"/>
      <c r="AU15" s="190">
        <v>4</v>
      </c>
      <c r="AV15" s="191" t="s">
        <v>169</v>
      </c>
      <c r="AW15" s="190" t="s">
        <v>456</v>
      </c>
      <c r="AX15" s="192">
        <v>44561</v>
      </c>
      <c r="AY15" s="193"/>
    </row>
    <row r="16" spans="2:51"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701"/>
      <c r="AJ16" s="702"/>
      <c r="AK16" s="703"/>
      <c r="AL16" s="701"/>
      <c r="AM16" s="702"/>
      <c r="AN16" s="702"/>
      <c r="AO16" s="703"/>
      <c r="AP16" s="709"/>
      <c r="AQ16" s="710"/>
      <c r="AR16" s="668"/>
      <c r="AU16" s="190">
        <v>4</v>
      </c>
      <c r="AV16" s="191" t="s">
        <v>169</v>
      </c>
      <c r="AW16" s="190" t="s">
        <v>456</v>
      </c>
      <c r="AX16" s="192">
        <v>44651</v>
      </c>
      <c r="AY16" s="193"/>
    </row>
    <row r="17" spans="2:51"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95">
        <v>311</v>
      </c>
      <c r="AJ17" s="696"/>
      <c r="AK17" s="697"/>
      <c r="AL17" s="695">
        <v>286</v>
      </c>
      <c r="AM17" s="696"/>
      <c r="AN17" s="696"/>
      <c r="AO17" s="697"/>
      <c r="AP17" s="705">
        <f>AL17/AI17</f>
        <v>0.91961414790996787</v>
      </c>
      <c r="AQ17" s="706"/>
      <c r="AR17" s="668"/>
      <c r="AU17" s="190">
        <v>4</v>
      </c>
      <c r="AV17" s="191" t="s">
        <v>169</v>
      </c>
      <c r="AW17" s="190" t="s">
        <v>456</v>
      </c>
      <c r="AX17" s="192">
        <v>44742</v>
      </c>
      <c r="AY17" s="193"/>
    </row>
    <row r="18" spans="2:51" ht="28.5" customHeight="1">
      <c r="B18" s="43" t="s">
        <v>195</v>
      </c>
      <c r="C18" s="607" t="s">
        <v>113</v>
      </c>
      <c r="D18" s="608"/>
      <c r="E18" s="644">
        <v>0.8</v>
      </c>
      <c r="F18" s="644"/>
      <c r="G18" s="632" t="s">
        <v>306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701"/>
      <c r="AJ18" s="702"/>
      <c r="AK18" s="703"/>
      <c r="AL18" s="701"/>
      <c r="AM18" s="702"/>
      <c r="AN18" s="702"/>
      <c r="AO18" s="703"/>
      <c r="AP18" s="709" t="e">
        <f t="shared" si="1"/>
        <v>#DIV/0!</v>
      </c>
      <c r="AQ18" s="710"/>
      <c r="AR18" s="668"/>
      <c r="AU18" s="190">
        <v>4</v>
      </c>
      <c r="AV18" s="191" t="s">
        <v>169</v>
      </c>
      <c r="AW18" s="190" t="s">
        <v>456</v>
      </c>
      <c r="AX18" s="192">
        <v>44834</v>
      </c>
      <c r="AY18" s="193"/>
    </row>
    <row r="19" spans="2:51"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742"/>
      <c r="AJ19" s="743"/>
      <c r="AK19" s="744"/>
      <c r="AL19" s="742"/>
      <c r="AM19" s="743"/>
      <c r="AN19" s="743"/>
      <c r="AO19" s="744"/>
      <c r="AP19" s="751" t="e">
        <f t="shared" si="1"/>
        <v>#DIV/0!</v>
      </c>
      <c r="AQ19" s="752"/>
      <c r="AR19" s="669"/>
      <c r="AU19" s="190">
        <v>4</v>
      </c>
      <c r="AV19" s="191" t="s">
        <v>169</v>
      </c>
      <c r="AW19" s="190" t="s">
        <v>456</v>
      </c>
      <c r="AX19" s="192">
        <v>44926</v>
      </c>
      <c r="AY19" s="193"/>
    </row>
    <row r="20" spans="2:51" ht="72" customHeight="1">
      <c r="B20" s="945" t="s">
        <v>307</v>
      </c>
      <c r="C20" s="946"/>
      <c r="D20" s="946"/>
      <c r="E20" s="946"/>
      <c r="F20" s="946"/>
      <c r="G20" s="946"/>
      <c r="H20" s="946"/>
      <c r="I20" s="946"/>
      <c r="J20" s="946"/>
      <c r="K20" s="946"/>
      <c r="L20" s="947"/>
      <c r="M20" s="607"/>
      <c r="N20" s="643"/>
      <c r="O20" s="643"/>
      <c r="P20" s="643"/>
      <c r="Q20" s="643"/>
      <c r="R20" s="643"/>
      <c r="S20" s="643"/>
      <c r="T20" s="643"/>
      <c r="U20" s="643"/>
      <c r="V20" s="643"/>
      <c r="W20" s="643"/>
      <c r="X20" s="608"/>
      <c r="AA20" s="51"/>
      <c r="AB20" s="679"/>
      <c r="AC20" s="679"/>
      <c r="AD20" s="681" t="s">
        <v>140</v>
      </c>
      <c r="AE20" s="681"/>
      <c r="AF20" s="681"/>
      <c r="AG20" s="681"/>
      <c r="AH20" s="681"/>
      <c r="AI20" s="748"/>
      <c r="AJ20" s="749"/>
      <c r="AK20" s="750"/>
      <c r="AL20" s="748"/>
      <c r="AM20" s="749"/>
      <c r="AN20" s="749"/>
      <c r="AO20" s="750"/>
      <c r="AP20" s="755" t="e">
        <f t="shared" si="1"/>
        <v>#DIV/0!</v>
      </c>
      <c r="AQ20" s="756"/>
      <c r="AR20" s="669"/>
    </row>
    <row r="21" spans="2:51"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742"/>
      <c r="AJ21" s="743"/>
      <c r="AK21" s="744"/>
      <c r="AL21" s="742"/>
      <c r="AM21" s="743"/>
      <c r="AN21" s="743"/>
      <c r="AO21" s="744"/>
      <c r="AP21" s="751" t="e">
        <f t="shared" si="1"/>
        <v>#DIV/0!</v>
      </c>
      <c r="AQ21" s="752"/>
      <c r="AR21" s="669"/>
    </row>
    <row r="22" spans="2:51" ht="18.95" customHeight="1">
      <c r="B22" s="633" t="s">
        <v>12</v>
      </c>
      <c r="C22" s="633"/>
      <c r="D22" s="44" t="s">
        <v>13</v>
      </c>
      <c r="E22" s="44" t="s">
        <v>14</v>
      </c>
      <c r="F22" s="44" t="s">
        <v>15</v>
      </c>
      <c r="G22" s="641" t="s">
        <v>16</v>
      </c>
      <c r="H22" s="641"/>
      <c r="I22" s="641"/>
      <c r="J22" s="44" t="s">
        <v>17</v>
      </c>
      <c r="K22" s="641" t="s">
        <v>18</v>
      </c>
      <c r="L22" s="641"/>
      <c r="M22" s="641"/>
      <c r="N22" s="44" t="s">
        <v>19</v>
      </c>
      <c r="O22" s="641" t="s">
        <v>20</v>
      </c>
      <c r="P22" s="641"/>
      <c r="Q22" s="641" t="s">
        <v>21</v>
      </c>
      <c r="R22" s="641"/>
      <c r="S22" s="641"/>
      <c r="T22" s="641" t="s">
        <v>22</v>
      </c>
      <c r="U22" s="641"/>
      <c r="V22" s="641" t="s">
        <v>23</v>
      </c>
      <c r="W22" s="641"/>
      <c r="X22" s="44" t="s">
        <v>24</v>
      </c>
      <c r="AB22" s="679"/>
      <c r="AC22" s="679"/>
      <c r="AD22" s="681" t="s">
        <v>142</v>
      </c>
      <c r="AE22" s="681"/>
      <c r="AF22" s="681"/>
      <c r="AG22" s="681"/>
      <c r="AH22" s="681"/>
      <c r="AI22" s="748"/>
      <c r="AJ22" s="749"/>
      <c r="AK22" s="750"/>
      <c r="AL22" s="748"/>
      <c r="AM22" s="749"/>
      <c r="AN22" s="749"/>
      <c r="AO22" s="750"/>
      <c r="AP22" s="755" t="e">
        <f t="shared" si="1"/>
        <v>#DIV/0!</v>
      </c>
      <c r="AQ22" s="756"/>
      <c r="AR22" s="669"/>
    </row>
    <row r="23" spans="2:51" ht="18.95" customHeight="1">
      <c r="B23" s="633" t="s">
        <v>25</v>
      </c>
      <c r="C23" s="633"/>
      <c r="D23" s="682">
        <f>AL15</f>
        <v>235</v>
      </c>
      <c r="E23" s="683"/>
      <c r="F23" s="683"/>
      <c r="G23" s="683"/>
      <c r="H23" s="683"/>
      <c r="I23" s="683"/>
      <c r="J23" s="683"/>
      <c r="K23" s="683"/>
      <c r="L23" s="683"/>
      <c r="M23" s="684"/>
      <c r="N23" s="682">
        <f>AL17</f>
        <v>286</v>
      </c>
      <c r="O23" s="683"/>
      <c r="P23" s="683"/>
      <c r="Q23" s="683"/>
      <c r="R23" s="683"/>
      <c r="S23" s="683"/>
      <c r="T23" s="683"/>
      <c r="U23" s="683"/>
      <c r="V23" s="683"/>
      <c r="W23" s="683"/>
      <c r="X23" s="684"/>
      <c r="Z23" s="52"/>
      <c r="AA23" s="52"/>
    </row>
    <row r="24" spans="2:51" ht="19.5" customHeight="1">
      <c r="B24" s="633" t="s">
        <v>26</v>
      </c>
      <c r="C24" s="633"/>
      <c r="D24" s="943">
        <f>AI15</f>
        <v>255</v>
      </c>
      <c r="E24" s="944"/>
      <c r="F24" s="944"/>
      <c r="G24" s="944"/>
      <c r="H24" s="944"/>
      <c r="I24" s="944"/>
      <c r="J24" s="944"/>
      <c r="K24" s="944"/>
      <c r="L24" s="944"/>
      <c r="M24" s="944"/>
      <c r="N24" s="682">
        <f>AI17</f>
        <v>311</v>
      </c>
      <c r="O24" s="683"/>
      <c r="P24" s="683"/>
      <c r="Q24" s="683"/>
      <c r="R24" s="683"/>
      <c r="S24" s="683"/>
      <c r="T24" s="683"/>
      <c r="U24" s="683"/>
      <c r="V24" s="683"/>
      <c r="W24" s="683"/>
      <c r="X24" s="684"/>
      <c r="Y24" s="53"/>
    </row>
    <row r="25" spans="2:51"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51" ht="25.5">
      <c r="B26" s="160" t="s">
        <v>27</v>
      </c>
      <c r="C26" s="160" t="s">
        <v>28</v>
      </c>
      <c r="D26" s="160" t="s">
        <v>29</v>
      </c>
      <c r="E26" s="160" t="s">
        <v>30</v>
      </c>
      <c r="F26" s="27"/>
      <c r="G26" s="27"/>
      <c r="H26" s="601"/>
      <c r="I26" s="601"/>
      <c r="J26" s="601"/>
      <c r="K26" s="601"/>
      <c r="L26" s="601"/>
      <c r="M26" s="601"/>
      <c r="N26" s="601"/>
      <c r="O26" s="601"/>
      <c r="P26" s="601"/>
      <c r="Q26" s="601"/>
      <c r="R26" s="601"/>
      <c r="S26" s="627"/>
      <c r="T26" s="627"/>
      <c r="U26" s="627"/>
      <c r="V26" s="627"/>
      <c r="W26" s="627"/>
      <c r="X26" s="623"/>
    </row>
    <row r="27" spans="2:51" ht="17.649999999999999" customHeight="1">
      <c r="B27" s="162" t="s">
        <v>31</v>
      </c>
      <c r="C27" s="686">
        <f>IF(ISERROR(D23/D24),0,$D$23/$D$24)</f>
        <v>0.92156862745098034</v>
      </c>
      <c r="D27" s="686">
        <f>$E$18</f>
        <v>0.8</v>
      </c>
      <c r="E27" s="161">
        <f>$O$14</f>
        <v>1</v>
      </c>
      <c r="F27" s="28"/>
      <c r="G27" s="28"/>
      <c r="H27" s="602"/>
      <c r="I27" s="602"/>
      <c r="J27" s="590"/>
      <c r="K27" s="590"/>
      <c r="L27" s="5"/>
      <c r="M27" s="5"/>
      <c r="N27" s="602"/>
      <c r="O27" s="602"/>
      <c r="P27" s="602"/>
      <c r="Q27" s="602"/>
      <c r="R27" s="602"/>
      <c r="S27" s="628"/>
      <c r="T27" s="628"/>
      <c r="U27" s="628"/>
      <c r="V27" s="628"/>
      <c r="W27" s="628"/>
      <c r="X27" s="629"/>
    </row>
    <row r="28" spans="2:51" ht="17.649999999999999" customHeight="1">
      <c r="B28" s="162" t="s">
        <v>32</v>
      </c>
      <c r="C28" s="687"/>
      <c r="D28" s="687"/>
      <c r="E28" s="161">
        <f t="shared" ref="E28:E37" si="2">$O$14</f>
        <v>1</v>
      </c>
      <c r="F28" s="28"/>
      <c r="G28" s="28"/>
      <c r="H28" s="590"/>
      <c r="I28" s="590"/>
      <c r="J28" s="590"/>
      <c r="K28" s="590"/>
      <c r="L28" s="6"/>
      <c r="M28" s="5"/>
      <c r="N28" s="590"/>
      <c r="O28" s="590"/>
      <c r="P28" s="590"/>
      <c r="Q28" s="590"/>
      <c r="R28" s="590"/>
      <c r="S28" s="628"/>
      <c r="T28" s="628"/>
      <c r="U28" s="628"/>
      <c r="V28" s="628"/>
      <c r="W28" s="628"/>
      <c r="X28" s="629"/>
    </row>
    <row r="29" spans="2:51" ht="17.649999999999999" customHeight="1">
      <c r="B29" s="162" t="s">
        <v>33</v>
      </c>
      <c r="C29" s="687"/>
      <c r="D29" s="687"/>
      <c r="E29" s="161">
        <f t="shared" si="2"/>
        <v>1</v>
      </c>
      <c r="F29" s="28"/>
      <c r="G29" s="28"/>
      <c r="H29" s="590"/>
      <c r="I29" s="590"/>
      <c r="J29" s="590"/>
      <c r="K29" s="590"/>
      <c r="L29" s="6"/>
      <c r="M29" s="5"/>
      <c r="N29" s="590"/>
      <c r="O29" s="590"/>
      <c r="P29" s="590"/>
      <c r="Q29" s="590"/>
      <c r="R29" s="590"/>
      <c r="S29" s="628"/>
      <c r="T29" s="628"/>
      <c r="U29" s="628"/>
      <c r="V29" s="628"/>
      <c r="W29" s="628"/>
      <c r="X29" s="629"/>
    </row>
    <row r="30" spans="2:51" ht="17.649999999999999" customHeight="1">
      <c r="B30" s="162" t="s">
        <v>34</v>
      </c>
      <c r="C30" s="687"/>
      <c r="D30" s="687"/>
      <c r="E30" s="161">
        <f t="shared" si="2"/>
        <v>1</v>
      </c>
      <c r="F30" s="28"/>
      <c r="G30" s="28"/>
      <c r="H30" s="590"/>
      <c r="I30" s="590"/>
      <c r="J30" s="590"/>
      <c r="K30" s="590"/>
      <c r="L30" s="6"/>
      <c r="M30" s="5"/>
      <c r="N30" s="590"/>
      <c r="O30" s="590"/>
      <c r="P30" s="590"/>
      <c r="Q30" s="590"/>
      <c r="R30" s="590"/>
      <c r="S30" s="628"/>
      <c r="T30" s="628"/>
      <c r="U30" s="628"/>
      <c r="V30" s="628"/>
      <c r="W30" s="628"/>
      <c r="X30" s="629"/>
    </row>
    <row r="31" spans="2:51" ht="17.649999999999999" customHeight="1">
      <c r="B31" s="162" t="s">
        <v>35</v>
      </c>
      <c r="C31" s="687"/>
      <c r="D31" s="687"/>
      <c r="E31" s="161">
        <f t="shared" si="2"/>
        <v>1</v>
      </c>
      <c r="F31" s="28"/>
      <c r="G31" s="28"/>
      <c r="H31" s="590"/>
      <c r="I31" s="590"/>
      <c r="J31" s="590"/>
      <c r="K31" s="590"/>
      <c r="L31" s="6"/>
      <c r="M31" s="5"/>
      <c r="N31" s="590"/>
      <c r="O31" s="590"/>
      <c r="P31" s="590"/>
      <c r="Q31" s="590"/>
      <c r="R31" s="590"/>
      <c r="S31" s="628"/>
      <c r="T31" s="628"/>
      <c r="U31" s="628"/>
      <c r="V31" s="628"/>
      <c r="W31" s="628"/>
      <c r="X31" s="629"/>
    </row>
    <row r="32" spans="2:51" ht="17.649999999999999" customHeight="1">
      <c r="B32" s="162" t="s">
        <v>36</v>
      </c>
      <c r="C32" s="688"/>
      <c r="D32" s="688"/>
      <c r="E32" s="161">
        <f t="shared" si="2"/>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162" t="s">
        <v>37</v>
      </c>
      <c r="C33" s="686">
        <f>IF(ISERROR(N23/N24),0,N23/N24)</f>
        <v>0.91961414790996787</v>
      </c>
      <c r="D33" s="686">
        <f t="shared" ref="D33" si="3">$E$18</f>
        <v>0.8</v>
      </c>
      <c r="E33" s="161">
        <f t="shared" si="2"/>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162" t="s">
        <v>38</v>
      </c>
      <c r="C34" s="687"/>
      <c r="D34" s="687"/>
      <c r="E34" s="161">
        <f t="shared" si="2"/>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162" t="s">
        <v>39</v>
      </c>
      <c r="C35" s="687"/>
      <c r="D35" s="687"/>
      <c r="E35" s="161">
        <f t="shared" si="2"/>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162" t="s">
        <v>40</v>
      </c>
      <c r="C36" s="687">
        <f>IF(ISERROR(T23/T24),0,T23/T24)</f>
        <v>0</v>
      </c>
      <c r="D36" s="687"/>
      <c r="E36" s="161">
        <f t="shared" si="2"/>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162" t="s">
        <v>41</v>
      </c>
      <c r="C37" s="687"/>
      <c r="D37" s="687"/>
      <c r="E37" s="161">
        <f t="shared" si="2"/>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162" t="s">
        <v>42</v>
      </c>
      <c r="C38" s="688"/>
      <c r="D38" s="688"/>
      <c r="E38" s="161">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70.5" customHeight="1">
      <c r="B41" s="621" t="s">
        <v>464</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89">
    <mergeCell ref="C27:C32"/>
    <mergeCell ref="D27:D32"/>
    <mergeCell ref="C33:C38"/>
    <mergeCell ref="D33:D38"/>
    <mergeCell ref="AB3:AR4"/>
    <mergeCell ref="AR5:AR6"/>
    <mergeCell ref="B1:T1"/>
    <mergeCell ref="U1:X4"/>
    <mergeCell ref="B2:T4"/>
    <mergeCell ref="C5:D5"/>
    <mergeCell ref="E5:G5"/>
    <mergeCell ref="H5:J5"/>
    <mergeCell ref="K5:N5"/>
    <mergeCell ref="O5:R5"/>
    <mergeCell ref="S5:V5"/>
    <mergeCell ref="AL7:AO8"/>
    <mergeCell ref="AP7:AQ8"/>
    <mergeCell ref="AL9:AO10"/>
    <mergeCell ref="W5:X5"/>
    <mergeCell ref="AB5:AC6"/>
    <mergeCell ref="AD5:AH6"/>
    <mergeCell ref="AI5:AK6"/>
    <mergeCell ref="AL5:AO6"/>
    <mergeCell ref="AP5:AQ6"/>
    <mergeCell ref="B6:X6"/>
    <mergeCell ref="AD8:AH8"/>
    <mergeCell ref="B9:X9"/>
    <mergeCell ref="AD9:AH9"/>
    <mergeCell ref="B7:F8"/>
    <mergeCell ref="G7:X8"/>
    <mergeCell ref="AB7:AC10"/>
    <mergeCell ref="AD7:AH7"/>
    <mergeCell ref="B10:X10"/>
    <mergeCell ref="AD10:AH10"/>
    <mergeCell ref="AP9:AQ10"/>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J34:K34"/>
    <mergeCell ref="N34:O34"/>
    <mergeCell ref="P34:R34"/>
    <mergeCell ref="H37:I37"/>
    <mergeCell ref="J37:K37"/>
    <mergeCell ref="N37:O37"/>
    <mergeCell ref="P37:R37"/>
    <mergeCell ref="H35:I35"/>
    <mergeCell ref="J35:K35"/>
    <mergeCell ref="N35:O35"/>
    <mergeCell ref="P35:R35"/>
    <mergeCell ref="H32:I32"/>
    <mergeCell ref="J32:K32"/>
    <mergeCell ref="N32:O32"/>
    <mergeCell ref="P32:R32"/>
    <mergeCell ref="H33:I33"/>
    <mergeCell ref="J33:K33"/>
    <mergeCell ref="N33:O33"/>
    <mergeCell ref="P33:R33"/>
    <mergeCell ref="AP17:AQ18"/>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AB1:AR1"/>
    <mergeCell ref="AR7:AR10"/>
    <mergeCell ref="AR11:AR14"/>
    <mergeCell ref="AR15:AR18"/>
    <mergeCell ref="AR19:AR22"/>
    <mergeCell ref="AI11:AK12"/>
    <mergeCell ref="AI13:AK14"/>
    <mergeCell ref="AL11:AO12"/>
    <mergeCell ref="AL13:AO14"/>
    <mergeCell ref="AP11:AQ12"/>
    <mergeCell ref="AP13:AQ14"/>
    <mergeCell ref="AI7:AK8"/>
    <mergeCell ref="AI9:AK10"/>
    <mergeCell ref="AI19:AK20"/>
    <mergeCell ref="AL19:AO20"/>
    <mergeCell ref="AP19:AQ20"/>
    <mergeCell ref="AI21:AK22"/>
    <mergeCell ref="AL21:AO22"/>
    <mergeCell ref="AP21:AQ22"/>
    <mergeCell ref="AI15:AK16"/>
    <mergeCell ref="AI17:AK18"/>
    <mergeCell ref="AL15:AO16"/>
    <mergeCell ref="AL17:AO18"/>
    <mergeCell ref="AP15:AQ16"/>
  </mergeCells>
  <pageMargins left="0.23622047244094491" right="0.23622047244094491" top="0.31496062992125984" bottom="0" header="0.51181102362204722" footer="0.51181102362204722"/>
  <pageSetup scale="80"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1">
    <tabColor theme="9" tint="-0.249977111117893"/>
    <pageSetUpPr fitToPage="1"/>
  </sheetPr>
  <dimension ref="B1:AZ50"/>
  <sheetViews>
    <sheetView zoomScale="80" zoomScaleNormal="80" zoomScaleSheetLayoutView="100" workbookViewId="0">
      <selection activeCell="AL19" sqref="AL19:AO20"/>
    </sheetView>
  </sheetViews>
  <sheetFormatPr baseColWidth="10" defaultColWidth="4.625" defaultRowHeight="12.75"/>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48" width="4.625" style="23"/>
    <col min="49" max="49" width="43.125" style="23" customWidth="1"/>
    <col min="50" max="50" width="16.25" style="23" customWidth="1"/>
    <col min="51" max="51" width="12.25" style="23" customWidth="1"/>
    <col min="52" max="52" width="13.75" style="23" customWidth="1"/>
    <col min="53" max="16384" width="4.625" style="23"/>
  </cols>
  <sheetData>
    <row r="1" spans="2:52" ht="20.25">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52">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52" ht="30">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c r="AV3" s="187" t="s">
        <v>451</v>
      </c>
      <c r="AW3" s="187" t="s">
        <v>452</v>
      </c>
      <c r="AX3" s="187" t="s">
        <v>453</v>
      </c>
      <c r="AY3" s="194" t="s">
        <v>454</v>
      </c>
      <c r="AZ3" s="187" t="s">
        <v>455</v>
      </c>
    </row>
    <row r="4" spans="2:52" ht="14.25">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c r="AV4" s="190">
        <v>5</v>
      </c>
      <c r="AW4" s="191" t="s">
        <v>170</v>
      </c>
      <c r="AX4" s="190" t="s">
        <v>394</v>
      </c>
      <c r="AY4" s="192">
        <v>43555</v>
      </c>
      <c r="AZ4" s="193">
        <f>179/179</f>
        <v>1</v>
      </c>
    </row>
    <row r="5" spans="2:52" s="41" customFormat="1" ht="14.25">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c r="AV5" s="190">
        <v>5</v>
      </c>
      <c r="AW5" s="191" t="s">
        <v>170</v>
      </c>
      <c r="AX5" s="190" t="s">
        <v>394</v>
      </c>
      <c r="AY5" s="192">
        <v>43646</v>
      </c>
      <c r="AZ5" s="193">
        <f>180/180</f>
        <v>1</v>
      </c>
    </row>
    <row r="6" spans="2:52" ht="14.25">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c r="AV6" s="190">
        <v>5</v>
      </c>
      <c r="AW6" s="191" t="s">
        <v>170</v>
      </c>
      <c r="AX6" s="190" t="s">
        <v>394</v>
      </c>
      <c r="AY6" s="192">
        <v>43738</v>
      </c>
      <c r="AZ6" s="193">
        <f>158/158</f>
        <v>1</v>
      </c>
    </row>
    <row r="7" spans="2:52" ht="14.25">
      <c r="B7" s="645" t="s">
        <v>76</v>
      </c>
      <c r="C7" s="646"/>
      <c r="D7" s="646"/>
      <c r="E7" s="646"/>
      <c r="F7" s="647"/>
      <c r="G7" s="651" t="s">
        <v>86</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95">
        <v>359</v>
      </c>
      <c r="AJ7" s="696"/>
      <c r="AK7" s="697"/>
      <c r="AL7" s="695">
        <v>359</v>
      </c>
      <c r="AM7" s="696"/>
      <c r="AN7" s="696"/>
      <c r="AO7" s="697"/>
      <c r="AP7" s="705">
        <f t="shared" ref="AP7:AP10" si="0">AL7/AI7</f>
        <v>1</v>
      </c>
      <c r="AQ7" s="706"/>
      <c r="AR7" s="948" t="e">
        <f>SUM(AP7:AQ10)/4</f>
        <v>#DIV/0!</v>
      </c>
      <c r="AV7" s="190">
        <v>5</v>
      </c>
      <c r="AW7" s="191" t="s">
        <v>170</v>
      </c>
      <c r="AX7" s="190" t="s">
        <v>394</v>
      </c>
      <c r="AY7" s="192">
        <v>43830</v>
      </c>
      <c r="AZ7" s="193">
        <f>158/158</f>
        <v>1</v>
      </c>
    </row>
    <row r="8" spans="2:52" ht="14.25">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701"/>
      <c r="AJ8" s="702"/>
      <c r="AK8" s="703"/>
      <c r="AL8" s="701"/>
      <c r="AM8" s="702"/>
      <c r="AN8" s="702"/>
      <c r="AO8" s="703"/>
      <c r="AP8" s="709" t="e">
        <f t="shared" si="0"/>
        <v>#DIV/0!</v>
      </c>
      <c r="AQ8" s="710"/>
      <c r="AR8" s="949"/>
      <c r="AV8" s="190">
        <v>5</v>
      </c>
      <c r="AW8" s="191" t="s">
        <v>170</v>
      </c>
      <c r="AX8" s="190" t="s">
        <v>394</v>
      </c>
      <c r="AY8" s="192">
        <v>43921</v>
      </c>
      <c r="AZ8" s="193">
        <f>70/70</f>
        <v>1</v>
      </c>
    </row>
    <row r="9" spans="2:52" ht="20.25"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95">
        <v>316</v>
      </c>
      <c r="AJ9" s="696"/>
      <c r="AK9" s="697"/>
      <c r="AL9" s="695">
        <v>316</v>
      </c>
      <c r="AM9" s="696"/>
      <c r="AN9" s="696"/>
      <c r="AO9" s="697"/>
      <c r="AP9" s="705">
        <f t="shared" si="0"/>
        <v>1</v>
      </c>
      <c r="AQ9" s="706"/>
      <c r="AR9" s="949"/>
      <c r="AV9" s="190">
        <v>5</v>
      </c>
      <c r="AW9" s="191" t="s">
        <v>170</v>
      </c>
      <c r="AX9" s="190" t="s">
        <v>394</v>
      </c>
      <c r="AY9" s="192">
        <v>44012</v>
      </c>
      <c r="AZ9" s="193">
        <f>90/90</f>
        <v>1</v>
      </c>
    </row>
    <row r="10" spans="2:52" ht="14.25">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01"/>
      <c r="AJ10" s="702"/>
      <c r="AK10" s="703"/>
      <c r="AL10" s="701"/>
      <c r="AM10" s="702"/>
      <c r="AN10" s="702"/>
      <c r="AO10" s="703"/>
      <c r="AP10" s="709" t="e">
        <f t="shared" si="0"/>
        <v>#DIV/0!</v>
      </c>
      <c r="AQ10" s="710"/>
      <c r="AR10" s="950"/>
      <c r="AV10" s="190">
        <v>5</v>
      </c>
      <c r="AW10" s="191" t="s">
        <v>170</v>
      </c>
      <c r="AX10" s="190" t="s">
        <v>394</v>
      </c>
      <c r="AY10" s="192">
        <v>44104</v>
      </c>
      <c r="AZ10" s="193">
        <f>177/177</f>
        <v>1</v>
      </c>
    </row>
    <row r="11" spans="2:52" ht="28.5" customHeight="1">
      <c r="B11" s="640" t="s">
        <v>170</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742">
        <v>160</v>
      </c>
      <c r="AJ11" s="743"/>
      <c r="AK11" s="744"/>
      <c r="AL11" s="742">
        <v>160</v>
      </c>
      <c r="AM11" s="743"/>
      <c r="AN11" s="743"/>
      <c r="AO11" s="744"/>
      <c r="AP11" s="751">
        <f>AL11/AI11</f>
        <v>1</v>
      </c>
      <c r="AQ11" s="752"/>
      <c r="AR11" s="669">
        <f>SUM(AP11:AQ14)/2</f>
        <v>1</v>
      </c>
      <c r="AV11" s="190">
        <v>5</v>
      </c>
      <c r="AW11" s="191" t="s">
        <v>170</v>
      </c>
      <c r="AX11" s="190" t="s">
        <v>394</v>
      </c>
      <c r="AY11" s="192">
        <v>44196</v>
      </c>
      <c r="AZ11" s="193">
        <f>180/180</f>
        <v>1</v>
      </c>
    </row>
    <row r="12" spans="2:52" ht="14.2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748"/>
      <c r="AJ12" s="749"/>
      <c r="AK12" s="750"/>
      <c r="AL12" s="748"/>
      <c r="AM12" s="749"/>
      <c r="AN12" s="749"/>
      <c r="AO12" s="750"/>
      <c r="AP12" s="755"/>
      <c r="AQ12" s="756"/>
      <c r="AR12" s="669"/>
      <c r="AV12" s="190">
        <v>5</v>
      </c>
      <c r="AW12" s="191" t="s">
        <v>170</v>
      </c>
      <c r="AX12" s="190" t="s">
        <v>394</v>
      </c>
      <c r="AY12" s="192">
        <v>44286</v>
      </c>
      <c r="AZ12" s="193"/>
    </row>
    <row r="13" spans="2:52" ht="14.25">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742">
        <v>357</v>
      </c>
      <c r="AJ13" s="743"/>
      <c r="AK13" s="744"/>
      <c r="AL13" s="742">
        <v>357</v>
      </c>
      <c r="AM13" s="743"/>
      <c r="AN13" s="743"/>
      <c r="AO13" s="744"/>
      <c r="AP13" s="751">
        <f t="shared" ref="AP13:AP22" si="1">AL13/AI13</f>
        <v>1</v>
      </c>
      <c r="AQ13" s="752"/>
      <c r="AR13" s="669"/>
      <c r="AV13" s="190">
        <v>5</v>
      </c>
      <c r="AW13" s="191" t="s">
        <v>170</v>
      </c>
      <c r="AX13" s="190" t="s">
        <v>394</v>
      </c>
      <c r="AY13" s="192">
        <v>44377</v>
      </c>
      <c r="AZ13" s="193"/>
    </row>
    <row r="14" spans="2:52" ht="34.5" customHeight="1">
      <c r="B14" s="632" t="s">
        <v>308</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748"/>
      <c r="AJ14" s="749"/>
      <c r="AK14" s="750"/>
      <c r="AL14" s="748"/>
      <c r="AM14" s="749"/>
      <c r="AN14" s="749"/>
      <c r="AO14" s="750"/>
      <c r="AP14" s="755"/>
      <c r="AQ14" s="756"/>
      <c r="AR14" s="669"/>
      <c r="AV14" s="190">
        <v>5</v>
      </c>
      <c r="AW14" s="191" t="s">
        <v>170</v>
      </c>
      <c r="AX14" s="190" t="s">
        <v>394</v>
      </c>
      <c r="AY14" s="192">
        <v>44469</v>
      </c>
      <c r="AZ14" s="193"/>
    </row>
    <row r="15" spans="2:52" ht="24.75"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95">
        <v>372</v>
      </c>
      <c r="AJ15" s="696"/>
      <c r="AK15" s="697"/>
      <c r="AL15" s="695">
        <v>372</v>
      </c>
      <c r="AM15" s="696"/>
      <c r="AN15" s="696"/>
      <c r="AO15" s="697"/>
      <c r="AP15" s="705">
        <f t="shared" si="1"/>
        <v>1</v>
      </c>
      <c r="AQ15" s="706"/>
      <c r="AR15" s="668" t="e">
        <f t="shared" ref="AR15" si="2">SUM(AP15:AQ18)/4</f>
        <v>#DIV/0!</v>
      </c>
      <c r="AV15" s="190">
        <v>5</v>
      </c>
      <c r="AW15" s="191" t="s">
        <v>170</v>
      </c>
      <c r="AX15" s="190" t="s">
        <v>394</v>
      </c>
      <c r="AY15" s="192">
        <v>44561</v>
      </c>
      <c r="AZ15" s="193"/>
    </row>
    <row r="16" spans="2:52" ht="14.25">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701"/>
      <c r="AJ16" s="702"/>
      <c r="AK16" s="703"/>
      <c r="AL16" s="701"/>
      <c r="AM16" s="702"/>
      <c r="AN16" s="702"/>
      <c r="AO16" s="703"/>
      <c r="AP16" s="709"/>
      <c r="AQ16" s="710"/>
      <c r="AR16" s="668"/>
      <c r="AV16" s="190">
        <v>5</v>
      </c>
      <c r="AW16" s="191" t="s">
        <v>170</v>
      </c>
      <c r="AX16" s="190" t="s">
        <v>394</v>
      </c>
      <c r="AY16" s="192">
        <v>44651</v>
      </c>
      <c r="AZ16" s="193"/>
    </row>
    <row r="17" spans="2:52" ht="14.25">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95">
        <v>591</v>
      </c>
      <c r="AJ17" s="696"/>
      <c r="AK17" s="697"/>
      <c r="AL17" s="695">
        <v>591</v>
      </c>
      <c r="AM17" s="696"/>
      <c r="AN17" s="696"/>
      <c r="AO17" s="697"/>
      <c r="AP17" s="705">
        <f t="shared" si="1"/>
        <v>1</v>
      </c>
      <c r="AQ17" s="706"/>
      <c r="AR17" s="668"/>
      <c r="AV17" s="190">
        <v>5</v>
      </c>
      <c r="AW17" s="191" t="s">
        <v>170</v>
      </c>
      <c r="AX17" s="190" t="s">
        <v>394</v>
      </c>
      <c r="AY17" s="192">
        <v>44742</v>
      </c>
      <c r="AZ17" s="193"/>
    </row>
    <row r="18" spans="2:52" ht="27" customHeight="1">
      <c r="B18" s="43" t="s">
        <v>195</v>
      </c>
      <c r="C18" s="607" t="s">
        <v>113</v>
      </c>
      <c r="D18" s="608"/>
      <c r="E18" s="644">
        <v>1</v>
      </c>
      <c r="F18" s="644"/>
      <c r="G18" s="632" t="s">
        <v>306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701"/>
      <c r="AJ18" s="702"/>
      <c r="AK18" s="703"/>
      <c r="AL18" s="701"/>
      <c r="AM18" s="702"/>
      <c r="AN18" s="702"/>
      <c r="AO18" s="703"/>
      <c r="AP18" s="709" t="e">
        <f t="shared" si="1"/>
        <v>#DIV/0!</v>
      </c>
      <c r="AQ18" s="710"/>
      <c r="AR18" s="668"/>
      <c r="AV18" s="190">
        <v>5</v>
      </c>
      <c r="AW18" s="191" t="s">
        <v>170</v>
      </c>
      <c r="AX18" s="190" t="s">
        <v>394</v>
      </c>
      <c r="AY18" s="192">
        <v>44834</v>
      </c>
      <c r="AZ18" s="193"/>
    </row>
    <row r="19" spans="2:52" ht="21"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742"/>
      <c r="AJ19" s="743"/>
      <c r="AK19" s="744"/>
      <c r="AL19" s="742"/>
      <c r="AM19" s="743"/>
      <c r="AN19" s="743"/>
      <c r="AO19" s="744"/>
      <c r="AP19" s="751" t="e">
        <f t="shared" si="1"/>
        <v>#DIV/0!</v>
      </c>
      <c r="AQ19" s="752"/>
      <c r="AR19" s="669" t="e">
        <f t="shared" ref="AR19" si="3">SUM(AP19:AQ22)/4</f>
        <v>#DIV/0!</v>
      </c>
      <c r="AV19" s="190">
        <v>5</v>
      </c>
      <c r="AW19" s="191" t="s">
        <v>170</v>
      </c>
      <c r="AX19" s="190" t="s">
        <v>394</v>
      </c>
      <c r="AY19" s="192">
        <v>44926</v>
      </c>
      <c r="AZ19" s="193"/>
    </row>
    <row r="20" spans="2:52" ht="75" customHeight="1">
      <c r="B20" s="945" t="s">
        <v>309</v>
      </c>
      <c r="C20" s="946"/>
      <c r="D20" s="946"/>
      <c r="E20" s="946"/>
      <c r="F20" s="946"/>
      <c r="G20" s="946"/>
      <c r="H20" s="946"/>
      <c r="I20" s="946"/>
      <c r="J20" s="946"/>
      <c r="K20" s="946"/>
      <c r="L20" s="947"/>
      <c r="M20" s="607"/>
      <c r="N20" s="643"/>
      <c r="O20" s="643"/>
      <c r="P20" s="643"/>
      <c r="Q20" s="643"/>
      <c r="R20" s="643"/>
      <c r="S20" s="643"/>
      <c r="T20" s="643"/>
      <c r="U20" s="643"/>
      <c r="V20" s="643"/>
      <c r="W20" s="643"/>
      <c r="X20" s="608"/>
      <c r="AA20" s="51"/>
      <c r="AB20" s="679"/>
      <c r="AC20" s="679"/>
      <c r="AD20" s="681" t="s">
        <v>140</v>
      </c>
      <c r="AE20" s="681"/>
      <c r="AF20" s="681"/>
      <c r="AG20" s="681"/>
      <c r="AH20" s="681"/>
      <c r="AI20" s="748"/>
      <c r="AJ20" s="749"/>
      <c r="AK20" s="750"/>
      <c r="AL20" s="748"/>
      <c r="AM20" s="749"/>
      <c r="AN20" s="749"/>
      <c r="AO20" s="750"/>
      <c r="AP20" s="755" t="e">
        <f t="shared" si="1"/>
        <v>#DIV/0!</v>
      </c>
      <c r="AQ20" s="756"/>
      <c r="AR20" s="669"/>
    </row>
    <row r="21" spans="2:52" ht="1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742"/>
      <c r="AJ21" s="743"/>
      <c r="AK21" s="744"/>
      <c r="AL21" s="742"/>
      <c r="AM21" s="743"/>
      <c r="AN21" s="743"/>
      <c r="AO21" s="744"/>
      <c r="AP21" s="751" t="e">
        <f t="shared" si="1"/>
        <v>#DIV/0!</v>
      </c>
      <c r="AQ21" s="752"/>
      <c r="AR21" s="669"/>
    </row>
    <row r="22" spans="2:52" ht="17.25" customHeight="1">
      <c r="B22" s="633" t="s">
        <v>12</v>
      </c>
      <c r="C22" s="633"/>
      <c r="D22" s="88" t="s">
        <v>13</v>
      </c>
      <c r="E22" s="88" t="s">
        <v>14</v>
      </c>
      <c r="F22" s="88" t="s">
        <v>15</v>
      </c>
      <c r="G22" s="641" t="s">
        <v>16</v>
      </c>
      <c r="H22" s="641"/>
      <c r="I22" s="641"/>
      <c r="J22" s="88" t="s">
        <v>17</v>
      </c>
      <c r="K22" s="641" t="s">
        <v>18</v>
      </c>
      <c r="L22" s="641"/>
      <c r="M22" s="641"/>
      <c r="N22" s="88" t="s">
        <v>19</v>
      </c>
      <c r="O22" s="641" t="s">
        <v>20</v>
      </c>
      <c r="P22" s="641"/>
      <c r="Q22" s="641" t="s">
        <v>21</v>
      </c>
      <c r="R22" s="641"/>
      <c r="S22" s="641"/>
      <c r="T22" s="641" t="s">
        <v>22</v>
      </c>
      <c r="U22" s="641"/>
      <c r="V22" s="641" t="s">
        <v>23</v>
      </c>
      <c r="W22" s="641"/>
      <c r="X22" s="88" t="s">
        <v>24</v>
      </c>
      <c r="AB22" s="679"/>
      <c r="AC22" s="679"/>
      <c r="AD22" s="681" t="s">
        <v>142</v>
      </c>
      <c r="AE22" s="681"/>
      <c r="AF22" s="681"/>
      <c r="AG22" s="681"/>
      <c r="AH22" s="681"/>
      <c r="AI22" s="748"/>
      <c r="AJ22" s="749"/>
      <c r="AK22" s="750"/>
      <c r="AL22" s="748"/>
      <c r="AM22" s="749"/>
      <c r="AN22" s="749"/>
      <c r="AO22" s="750"/>
      <c r="AP22" s="755" t="e">
        <f t="shared" si="1"/>
        <v>#DIV/0!</v>
      </c>
      <c r="AQ22" s="756"/>
      <c r="AR22" s="669"/>
    </row>
    <row r="23" spans="2:52" ht="22.5" customHeight="1">
      <c r="B23" s="633" t="s">
        <v>25</v>
      </c>
      <c r="C23" s="633"/>
      <c r="D23" s="682">
        <f>AL15</f>
        <v>372</v>
      </c>
      <c r="E23" s="683"/>
      <c r="F23" s="683"/>
      <c r="G23" s="683"/>
      <c r="H23" s="683"/>
      <c r="I23" s="683"/>
      <c r="J23" s="683"/>
      <c r="K23" s="683"/>
      <c r="L23" s="683"/>
      <c r="M23" s="684"/>
      <c r="N23" s="682">
        <f>AL17</f>
        <v>591</v>
      </c>
      <c r="O23" s="683"/>
      <c r="P23" s="683"/>
      <c r="Q23" s="683"/>
      <c r="R23" s="683"/>
      <c r="S23" s="683"/>
      <c r="T23" s="683"/>
      <c r="U23" s="683"/>
      <c r="V23" s="683"/>
      <c r="W23" s="683"/>
      <c r="X23" s="684"/>
      <c r="Z23" s="52"/>
      <c r="AA23" s="52"/>
    </row>
    <row r="24" spans="2:52" ht="22.5" customHeight="1">
      <c r="B24" s="633" t="s">
        <v>26</v>
      </c>
      <c r="C24" s="633"/>
      <c r="D24" s="943">
        <f>AI15</f>
        <v>372</v>
      </c>
      <c r="E24" s="944"/>
      <c r="F24" s="944"/>
      <c r="G24" s="944"/>
      <c r="H24" s="944"/>
      <c r="I24" s="944"/>
      <c r="J24" s="944"/>
      <c r="K24" s="944"/>
      <c r="L24" s="944"/>
      <c r="M24" s="944"/>
      <c r="N24" s="682">
        <f>AI17</f>
        <v>591</v>
      </c>
      <c r="O24" s="683"/>
      <c r="P24" s="683"/>
      <c r="Q24" s="683"/>
      <c r="R24" s="683"/>
      <c r="S24" s="683"/>
      <c r="T24" s="683"/>
      <c r="U24" s="683"/>
      <c r="V24" s="683"/>
      <c r="W24" s="683"/>
      <c r="X24" s="684"/>
      <c r="Y24" s="53"/>
    </row>
    <row r="25" spans="2:52" ht="24"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52" ht="25.5">
      <c r="B26" s="160" t="s">
        <v>27</v>
      </c>
      <c r="C26" s="160" t="s">
        <v>28</v>
      </c>
      <c r="D26" s="160" t="s">
        <v>29</v>
      </c>
      <c r="E26" s="160" t="s">
        <v>30</v>
      </c>
      <c r="F26" s="27"/>
      <c r="G26" s="27"/>
      <c r="H26" s="601"/>
      <c r="I26" s="601"/>
      <c r="J26" s="601"/>
      <c r="K26" s="601"/>
      <c r="L26" s="601"/>
      <c r="M26" s="601"/>
      <c r="N26" s="601"/>
      <c r="O26" s="601"/>
      <c r="P26" s="601"/>
      <c r="Q26" s="601"/>
      <c r="R26" s="601"/>
      <c r="S26" s="627"/>
      <c r="T26" s="627"/>
      <c r="U26" s="627"/>
      <c r="V26" s="627"/>
      <c r="W26" s="627"/>
      <c r="X26" s="623"/>
    </row>
    <row r="27" spans="2:52" ht="15.75" customHeight="1">
      <c r="B27" s="162" t="s">
        <v>31</v>
      </c>
      <c r="C27" s="686">
        <f>IF(ISERROR(D23/D24),0,$D$23/$D$24)</f>
        <v>1</v>
      </c>
      <c r="D27" s="686">
        <f>$E$18</f>
        <v>1</v>
      </c>
      <c r="E27" s="161">
        <f>$O$14</f>
        <v>1</v>
      </c>
      <c r="F27" s="28"/>
      <c r="G27" s="28"/>
      <c r="H27" s="602"/>
      <c r="I27" s="602"/>
      <c r="J27" s="590"/>
      <c r="K27" s="590"/>
      <c r="L27" s="5"/>
      <c r="M27" s="5"/>
      <c r="N27" s="602"/>
      <c r="O27" s="602"/>
      <c r="P27" s="602"/>
      <c r="Q27" s="602"/>
      <c r="R27" s="602"/>
      <c r="S27" s="628"/>
      <c r="T27" s="628"/>
      <c r="U27" s="628"/>
      <c r="V27" s="628"/>
      <c r="W27" s="628"/>
      <c r="X27" s="629"/>
    </row>
    <row r="28" spans="2:52" ht="15.75" customHeight="1">
      <c r="B28" s="162" t="s">
        <v>32</v>
      </c>
      <c r="C28" s="687"/>
      <c r="D28" s="687"/>
      <c r="E28" s="161">
        <f t="shared" ref="E28:E37" si="4">$O$14</f>
        <v>1</v>
      </c>
      <c r="F28" s="28"/>
      <c r="G28" s="28"/>
      <c r="H28" s="590"/>
      <c r="I28" s="590"/>
      <c r="J28" s="590"/>
      <c r="K28" s="590"/>
      <c r="L28" s="6"/>
      <c r="M28" s="5"/>
      <c r="N28" s="590"/>
      <c r="O28" s="590"/>
      <c r="P28" s="590"/>
      <c r="Q28" s="590"/>
      <c r="R28" s="590"/>
      <c r="S28" s="628"/>
      <c r="T28" s="628"/>
      <c r="U28" s="628"/>
      <c r="V28" s="628"/>
      <c r="W28" s="628"/>
      <c r="X28" s="629"/>
    </row>
    <row r="29" spans="2:52" ht="15.75" customHeight="1">
      <c r="B29" s="162" t="s">
        <v>33</v>
      </c>
      <c r="C29" s="687"/>
      <c r="D29" s="687"/>
      <c r="E29" s="161">
        <f t="shared" si="4"/>
        <v>1</v>
      </c>
      <c r="F29" s="28"/>
      <c r="G29" s="28"/>
      <c r="H29" s="590"/>
      <c r="I29" s="590"/>
      <c r="J29" s="590"/>
      <c r="K29" s="590"/>
      <c r="L29" s="6"/>
      <c r="M29" s="5"/>
      <c r="N29" s="590"/>
      <c r="O29" s="590"/>
      <c r="P29" s="590"/>
      <c r="Q29" s="590"/>
      <c r="R29" s="590"/>
      <c r="S29" s="628"/>
      <c r="T29" s="628"/>
      <c r="U29" s="628"/>
      <c r="V29" s="628"/>
      <c r="W29" s="628"/>
      <c r="X29" s="629"/>
    </row>
    <row r="30" spans="2:52" ht="15.75" customHeight="1">
      <c r="B30" s="162" t="s">
        <v>34</v>
      </c>
      <c r="C30" s="687"/>
      <c r="D30" s="687"/>
      <c r="E30" s="161">
        <f t="shared" si="4"/>
        <v>1</v>
      </c>
      <c r="F30" s="28"/>
      <c r="G30" s="28"/>
      <c r="H30" s="590"/>
      <c r="I30" s="590"/>
      <c r="J30" s="590"/>
      <c r="K30" s="590"/>
      <c r="L30" s="6"/>
      <c r="M30" s="5"/>
      <c r="N30" s="590"/>
      <c r="O30" s="590"/>
      <c r="P30" s="590"/>
      <c r="Q30" s="590"/>
      <c r="R30" s="590"/>
      <c r="S30" s="628"/>
      <c r="T30" s="628"/>
      <c r="U30" s="628"/>
      <c r="V30" s="628"/>
      <c r="W30" s="628"/>
      <c r="X30" s="629"/>
    </row>
    <row r="31" spans="2:52" ht="15.75" customHeight="1">
      <c r="B31" s="162" t="s">
        <v>35</v>
      </c>
      <c r="C31" s="687"/>
      <c r="D31" s="687"/>
      <c r="E31" s="161">
        <f t="shared" si="4"/>
        <v>1</v>
      </c>
      <c r="F31" s="28"/>
      <c r="G31" s="28"/>
      <c r="H31" s="590"/>
      <c r="I31" s="590"/>
      <c r="J31" s="590"/>
      <c r="K31" s="590"/>
      <c r="L31" s="6"/>
      <c r="M31" s="5"/>
      <c r="N31" s="590"/>
      <c r="O31" s="590"/>
      <c r="P31" s="590"/>
      <c r="Q31" s="590"/>
      <c r="R31" s="590"/>
      <c r="S31" s="628"/>
      <c r="T31" s="628"/>
      <c r="U31" s="628"/>
      <c r="V31" s="628"/>
      <c r="W31" s="628"/>
      <c r="X31" s="629"/>
    </row>
    <row r="32" spans="2:52" ht="15.75" customHeight="1">
      <c r="B32" s="162" t="s">
        <v>36</v>
      </c>
      <c r="C32" s="688"/>
      <c r="D32" s="688"/>
      <c r="E32" s="161">
        <f t="shared" si="4"/>
        <v>1</v>
      </c>
      <c r="F32" s="28"/>
      <c r="G32" s="28"/>
      <c r="H32" s="590"/>
      <c r="I32" s="590"/>
      <c r="J32" s="590"/>
      <c r="K32" s="590"/>
      <c r="L32" s="6"/>
      <c r="M32" s="5"/>
      <c r="N32" s="590"/>
      <c r="O32" s="590"/>
      <c r="P32" s="590"/>
      <c r="Q32" s="590"/>
      <c r="R32" s="590"/>
      <c r="S32" s="628"/>
      <c r="T32" s="628"/>
      <c r="U32" s="628"/>
      <c r="V32" s="628"/>
      <c r="W32" s="628"/>
      <c r="X32" s="629"/>
    </row>
    <row r="33" spans="2:27" ht="15.75" customHeight="1">
      <c r="B33" s="162" t="s">
        <v>37</v>
      </c>
      <c r="C33" s="686">
        <f>IF(ISERROR(N23/N24),0,N23/N24)</f>
        <v>1</v>
      </c>
      <c r="D33" s="686">
        <f t="shared" ref="D33" si="5">$E$18</f>
        <v>1</v>
      </c>
      <c r="E33" s="161">
        <f t="shared" si="4"/>
        <v>1</v>
      </c>
      <c r="F33" s="28"/>
      <c r="G33" s="28"/>
      <c r="H33" s="590"/>
      <c r="I33" s="590"/>
      <c r="J33" s="590"/>
      <c r="K33" s="590"/>
      <c r="L33" s="6"/>
      <c r="M33" s="5"/>
      <c r="N33" s="590"/>
      <c r="O33" s="590"/>
      <c r="P33" s="590"/>
      <c r="Q33" s="590"/>
      <c r="R33" s="590"/>
      <c r="S33" s="628"/>
      <c r="T33" s="628"/>
      <c r="U33" s="628"/>
      <c r="V33" s="628"/>
      <c r="W33" s="628"/>
      <c r="X33" s="629"/>
    </row>
    <row r="34" spans="2:27" ht="15.75" customHeight="1">
      <c r="B34" s="162" t="s">
        <v>38</v>
      </c>
      <c r="C34" s="687"/>
      <c r="D34" s="687"/>
      <c r="E34" s="161">
        <f t="shared" si="4"/>
        <v>1</v>
      </c>
      <c r="F34" s="28"/>
      <c r="G34" s="28"/>
      <c r="H34" s="590"/>
      <c r="I34" s="590"/>
      <c r="J34" s="590"/>
      <c r="K34" s="590"/>
      <c r="L34" s="6"/>
      <c r="M34" s="5"/>
      <c r="N34" s="590"/>
      <c r="O34" s="590"/>
      <c r="P34" s="590"/>
      <c r="Q34" s="590"/>
      <c r="R34" s="590"/>
      <c r="S34" s="628"/>
      <c r="T34" s="628"/>
      <c r="U34" s="628"/>
      <c r="V34" s="628"/>
      <c r="W34" s="628"/>
      <c r="X34" s="629"/>
    </row>
    <row r="35" spans="2:27" ht="15.75" customHeight="1">
      <c r="B35" s="162" t="s">
        <v>39</v>
      </c>
      <c r="C35" s="687"/>
      <c r="D35" s="687"/>
      <c r="E35" s="161">
        <f t="shared" si="4"/>
        <v>1</v>
      </c>
      <c r="F35" s="28"/>
      <c r="G35" s="28"/>
      <c r="H35" s="590"/>
      <c r="I35" s="590"/>
      <c r="J35" s="590"/>
      <c r="K35" s="590"/>
      <c r="L35" s="6"/>
      <c r="M35" s="5"/>
      <c r="N35" s="590"/>
      <c r="O35" s="590"/>
      <c r="P35" s="590"/>
      <c r="Q35" s="590"/>
      <c r="R35" s="590"/>
      <c r="S35" s="628"/>
      <c r="T35" s="628"/>
      <c r="U35" s="628"/>
      <c r="V35" s="628"/>
      <c r="W35" s="628"/>
      <c r="X35" s="629"/>
    </row>
    <row r="36" spans="2:27" ht="15.75" customHeight="1">
      <c r="B36" s="162" t="s">
        <v>40</v>
      </c>
      <c r="C36" s="687">
        <f>IF(ISERROR(T23/T24),0,T23/T24)</f>
        <v>0</v>
      </c>
      <c r="D36" s="687"/>
      <c r="E36" s="161">
        <f t="shared" si="4"/>
        <v>1</v>
      </c>
      <c r="F36" s="28"/>
      <c r="G36" s="28"/>
      <c r="H36" s="590"/>
      <c r="I36" s="590"/>
      <c r="J36" s="590"/>
      <c r="K36" s="590"/>
      <c r="L36" s="6"/>
      <c r="M36" s="5"/>
      <c r="N36" s="590"/>
      <c r="O36" s="590"/>
      <c r="P36" s="590"/>
      <c r="Q36" s="590"/>
      <c r="R36" s="590"/>
      <c r="S36" s="628"/>
      <c r="T36" s="628"/>
      <c r="U36" s="628"/>
      <c r="V36" s="628"/>
      <c r="W36" s="628"/>
      <c r="X36" s="629"/>
    </row>
    <row r="37" spans="2:27" ht="15.75" customHeight="1">
      <c r="B37" s="162" t="s">
        <v>41</v>
      </c>
      <c r="C37" s="687"/>
      <c r="D37" s="687"/>
      <c r="E37" s="161">
        <f t="shared" si="4"/>
        <v>1</v>
      </c>
      <c r="F37" s="28"/>
      <c r="G37" s="28"/>
      <c r="H37" s="590"/>
      <c r="I37" s="590"/>
      <c r="J37" s="590"/>
      <c r="K37" s="590"/>
      <c r="L37" s="6"/>
      <c r="M37" s="5"/>
      <c r="N37" s="590"/>
      <c r="O37" s="590"/>
      <c r="P37" s="590"/>
      <c r="Q37" s="590"/>
      <c r="R37" s="590"/>
      <c r="S37" s="628"/>
      <c r="T37" s="628"/>
      <c r="U37" s="628"/>
      <c r="V37" s="628"/>
      <c r="W37" s="628"/>
      <c r="X37" s="629"/>
    </row>
    <row r="38" spans="2:27" ht="15.75" customHeight="1">
      <c r="B38" s="162" t="s">
        <v>42</v>
      </c>
      <c r="C38" s="688"/>
      <c r="D38" s="688"/>
      <c r="E38" s="161">
        <v>0</v>
      </c>
      <c r="F38" s="29"/>
      <c r="G38" s="29"/>
      <c r="H38" s="620"/>
      <c r="I38" s="620"/>
      <c r="J38" s="620"/>
      <c r="K38" s="620"/>
      <c r="L38" s="7"/>
      <c r="M38" s="8"/>
      <c r="N38" s="620"/>
      <c r="O38" s="620"/>
      <c r="P38" s="620"/>
      <c r="Q38" s="620"/>
      <c r="R38" s="620"/>
      <c r="S38" s="630"/>
      <c r="T38" s="630"/>
      <c r="U38" s="630"/>
      <c r="V38" s="630"/>
      <c r="W38" s="630"/>
      <c r="X38" s="631"/>
    </row>
    <row r="39" spans="2:27">
      <c r="B39" s="30"/>
      <c r="C39" s="27"/>
      <c r="D39" s="27"/>
      <c r="E39" s="27"/>
      <c r="F39" s="27"/>
      <c r="G39" s="27"/>
      <c r="H39" s="27"/>
      <c r="I39" s="27"/>
      <c r="J39" s="27"/>
      <c r="K39" s="27"/>
      <c r="L39" s="27"/>
      <c r="M39" s="27"/>
      <c r="N39" s="27"/>
      <c r="O39" s="27"/>
      <c r="P39" s="27"/>
      <c r="Q39" s="27"/>
      <c r="R39" s="27"/>
      <c r="S39" s="27"/>
      <c r="T39" s="27"/>
      <c r="U39" s="27"/>
      <c r="V39" s="27"/>
      <c r="W39" s="27"/>
      <c r="X39" s="31"/>
    </row>
    <row r="40" spans="2:27">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45.75" customHeight="1">
      <c r="B41" s="621" t="s">
        <v>450</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53.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89">
    <mergeCell ref="C27:C32"/>
    <mergeCell ref="D27:D32"/>
    <mergeCell ref="C33:C38"/>
    <mergeCell ref="D33:D38"/>
    <mergeCell ref="W5:X5"/>
    <mergeCell ref="AB5:AC6"/>
    <mergeCell ref="AD5:AH6"/>
    <mergeCell ref="AD8:AH8"/>
    <mergeCell ref="B9:X9"/>
    <mergeCell ref="AD9:AH9"/>
    <mergeCell ref="B7:F8"/>
    <mergeCell ref="G7:X8"/>
    <mergeCell ref="AB7:AC10"/>
    <mergeCell ref="AD7:AH7"/>
    <mergeCell ref="B10:X10"/>
    <mergeCell ref="AD10:AH10"/>
    <mergeCell ref="B11:X11"/>
    <mergeCell ref="AB11:AC14"/>
    <mergeCell ref="AD11:AH11"/>
    <mergeCell ref="B12:F13"/>
    <mergeCell ref="G12:J13"/>
    <mergeCell ref="K12:N13"/>
    <mergeCell ref="O12:X12"/>
    <mergeCell ref="AD12:AH12"/>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O13:R13"/>
    <mergeCell ref="S13:U13"/>
    <mergeCell ref="V13:X13"/>
    <mergeCell ref="AD13:AH13"/>
    <mergeCell ref="B14:F14"/>
    <mergeCell ref="G14:J14"/>
    <mergeCell ref="K14:N14"/>
    <mergeCell ref="O14:R14"/>
    <mergeCell ref="S14:U14"/>
    <mergeCell ref="V14:X14"/>
    <mergeCell ref="AD14:AH14"/>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AL17:AO18"/>
    <mergeCell ref="AP17:AQ18"/>
    <mergeCell ref="AI19:AK20"/>
    <mergeCell ref="AL19:AO20"/>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AP19:AQ20"/>
    <mergeCell ref="AI21:AK22"/>
    <mergeCell ref="AL21:AO22"/>
    <mergeCell ref="AP21:AQ22"/>
    <mergeCell ref="AR7:AR10"/>
    <mergeCell ref="AR11:AR14"/>
    <mergeCell ref="AR15:AR18"/>
    <mergeCell ref="AR19:AR22"/>
    <mergeCell ref="AI7:AK8"/>
    <mergeCell ref="AL7:AO8"/>
    <mergeCell ref="AP7:AQ8"/>
    <mergeCell ref="AI9:AK10"/>
    <mergeCell ref="AL9:AO10"/>
    <mergeCell ref="AP9:AQ10"/>
    <mergeCell ref="AI11:AK12"/>
    <mergeCell ref="AL11:AO12"/>
    <mergeCell ref="AP11:AQ12"/>
    <mergeCell ref="AI13:AK14"/>
    <mergeCell ref="AL13:AO14"/>
    <mergeCell ref="AP13:AQ14"/>
    <mergeCell ref="AI15:AK16"/>
    <mergeCell ref="AL15:AO16"/>
    <mergeCell ref="AP15:AQ16"/>
    <mergeCell ref="AI17:AK18"/>
  </mergeCells>
  <pageMargins left="0.23622047244094491" right="0.23622047244094491" top="0.31496062992125984" bottom="0" header="0.51181102362204722" footer="0.51181102362204722"/>
  <pageSetup scale="8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3">
    <tabColor theme="5" tint="-0.249977111117893"/>
    <pageSetUpPr fitToPage="1"/>
  </sheetPr>
  <dimension ref="B1:AR50"/>
  <sheetViews>
    <sheetView zoomScale="80" zoomScaleNormal="80" zoomScaleSheetLayoutView="100" workbookViewId="0">
      <selection activeCell="AL21" sqref="AL21:AO2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2" width="4.625" style="46"/>
    <col min="43" max="43" width="11.5" style="46" customWidth="1"/>
    <col min="44" max="44" width="8.3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82</v>
      </c>
      <c r="H7" s="652"/>
      <c r="I7" s="652"/>
      <c r="J7" s="652"/>
      <c r="K7" s="652"/>
      <c r="L7" s="652"/>
      <c r="M7" s="652"/>
      <c r="N7" s="652"/>
      <c r="O7" s="652"/>
      <c r="P7" s="652"/>
      <c r="Q7" s="652"/>
      <c r="R7" s="652"/>
      <c r="S7" s="652"/>
      <c r="T7" s="652"/>
      <c r="U7" s="652"/>
      <c r="V7" s="652"/>
      <c r="W7" s="652"/>
      <c r="X7" s="653"/>
      <c r="AB7" s="806">
        <v>2019</v>
      </c>
      <c r="AC7" s="806"/>
      <c r="AD7" s="801" t="s">
        <v>127</v>
      </c>
      <c r="AE7" s="801"/>
      <c r="AF7" s="801"/>
      <c r="AG7" s="801"/>
      <c r="AH7" s="801"/>
      <c r="AI7" s="673">
        <v>351</v>
      </c>
      <c r="AJ7" s="673"/>
      <c r="AK7" s="673"/>
      <c r="AL7" s="673">
        <v>351</v>
      </c>
      <c r="AM7" s="673"/>
      <c r="AN7" s="673"/>
      <c r="AO7" s="673"/>
      <c r="AP7" s="674">
        <f t="shared" ref="AP7:AP10" si="0">AL7/AI7</f>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806"/>
      <c r="AC8" s="806"/>
      <c r="AD8" s="801" t="s">
        <v>128</v>
      </c>
      <c r="AE8" s="801"/>
      <c r="AF8" s="801"/>
      <c r="AG8" s="801"/>
      <c r="AH8" s="801"/>
      <c r="AI8" s="673">
        <v>328</v>
      </c>
      <c r="AJ8" s="673"/>
      <c r="AK8" s="673"/>
      <c r="AL8" s="673">
        <v>328</v>
      </c>
      <c r="AM8" s="673"/>
      <c r="AN8" s="673"/>
      <c r="AO8" s="673"/>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806"/>
      <c r="AC9" s="806"/>
      <c r="AD9" s="801" t="s">
        <v>129</v>
      </c>
      <c r="AE9" s="801"/>
      <c r="AF9" s="801"/>
      <c r="AG9" s="801"/>
      <c r="AH9" s="801"/>
      <c r="AI9" s="673">
        <v>302</v>
      </c>
      <c r="AJ9" s="673"/>
      <c r="AK9" s="673"/>
      <c r="AL9" s="673">
        <v>302</v>
      </c>
      <c r="AM9" s="673"/>
      <c r="AN9" s="673"/>
      <c r="AO9" s="673"/>
      <c r="AP9" s="674">
        <f t="shared" si="0"/>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806"/>
      <c r="AC10" s="806"/>
      <c r="AD10" s="801" t="s">
        <v>130</v>
      </c>
      <c r="AE10" s="801"/>
      <c r="AF10" s="801"/>
      <c r="AG10" s="801"/>
      <c r="AH10" s="801"/>
      <c r="AI10" s="673">
        <v>340</v>
      </c>
      <c r="AJ10" s="673"/>
      <c r="AK10" s="673"/>
      <c r="AL10" s="673">
        <v>340</v>
      </c>
      <c r="AM10" s="673"/>
      <c r="AN10" s="673"/>
      <c r="AO10" s="673"/>
      <c r="AP10" s="674">
        <f t="shared" si="0"/>
        <v>1</v>
      </c>
      <c r="AQ10" s="674"/>
      <c r="AR10" s="668"/>
    </row>
    <row r="11" spans="2:44" ht="38.25" customHeight="1">
      <c r="B11" s="640" t="s">
        <v>171</v>
      </c>
      <c r="C11" s="640"/>
      <c r="D11" s="640"/>
      <c r="E11" s="640"/>
      <c r="F11" s="640"/>
      <c r="G11" s="640"/>
      <c r="H11" s="640"/>
      <c r="I11" s="640"/>
      <c r="J11" s="640"/>
      <c r="K11" s="640"/>
      <c r="L11" s="640"/>
      <c r="M11" s="640"/>
      <c r="N11" s="640"/>
      <c r="O11" s="640"/>
      <c r="P11" s="640"/>
      <c r="Q11" s="640"/>
      <c r="R11" s="640"/>
      <c r="S11" s="640"/>
      <c r="T11" s="640"/>
      <c r="U11" s="640"/>
      <c r="V11" s="640"/>
      <c r="W11" s="640"/>
      <c r="X11" s="640"/>
      <c r="AB11" s="805">
        <v>2020</v>
      </c>
      <c r="AC11" s="805"/>
      <c r="AD11" s="797" t="s">
        <v>131</v>
      </c>
      <c r="AE11" s="797"/>
      <c r="AF11" s="797"/>
      <c r="AG11" s="797"/>
      <c r="AH11" s="797"/>
      <c r="AI11" s="672">
        <v>63</v>
      </c>
      <c r="AJ11" s="672"/>
      <c r="AK11" s="672"/>
      <c r="AL11" s="672">
        <v>63</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805"/>
      <c r="AC12" s="805"/>
      <c r="AD12" s="797" t="s">
        <v>132</v>
      </c>
      <c r="AE12" s="797"/>
      <c r="AF12" s="797"/>
      <c r="AG12" s="797"/>
      <c r="AH12" s="797"/>
      <c r="AI12" s="672">
        <v>74</v>
      </c>
      <c r="AJ12" s="672"/>
      <c r="AK12" s="672"/>
      <c r="AL12" s="672">
        <v>74</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805"/>
      <c r="AC13" s="805"/>
      <c r="AD13" s="797" t="s">
        <v>133</v>
      </c>
      <c r="AE13" s="797"/>
      <c r="AF13" s="797"/>
      <c r="AG13" s="797"/>
      <c r="AH13" s="797"/>
      <c r="AI13" s="672">
        <v>137</v>
      </c>
      <c r="AJ13" s="672"/>
      <c r="AK13" s="672"/>
      <c r="AL13" s="672">
        <v>137</v>
      </c>
      <c r="AM13" s="672"/>
      <c r="AN13" s="672"/>
      <c r="AO13" s="672"/>
      <c r="AP13" s="671">
        <f t="shared" si="1"/>
        <v>1</v>
      </c>
      <c r="AQ13" s="671"/>
      <c r="AR13" s="669"/>
    </row>
    <row r="14" spans="2:44" ht="29.25" customHeight="1">
      <c r="B14" s="818" t="s">
        <v>357</v>
      </c>
      <c r="C14" s="818"/>
      <c r="D14" s="818"/>
      <c r="E14" s="818"/>
      <c r="F14" s="818"/>
      <c r="G14" s="644" t="s">
        <v>100</v>
      </c>
      <c r="H14" s="644"/>
      <c r="I14" s="644"/>
      <c r="J14" s="644"/>
      <c r="K14" s="644">
        <v>1</v>
      </c>
      <c r="L14" s="644"/>
      <c r="M14" s="644"/>
      <c r="N14" s="644"/>
      <c r="O14" s="635">
        <v>1</v>
      </c>
      <c r="P14" s="636"/>
      <c r="Q14" s="636"/>
      <c r="R14" s="637"/>
      <c r="S14" s="591">
        <v>44561</v>
      </c>
      <c r="T14" s="592"/>
      <c r="U14" s="593"/>
      <c r="V14" s="594">
        <v>2021</v>
      </c>
      <c r="W14" s="594"/>
      <c r="X14" s="594"/>
      <c r="AB14" s="805"/>
      <c r="AC14" s="805"/>
      <c r="AD14" s="797" t="s">
        <v>134</v>
      </c>
      <c r="AE14" s="797"/>
      <c r="AF14" s="797"/>
      <c r="AG14" s="797"/>
      <c r="AH14" s="797"/>
      <c r="AI14" s="672">
        <v>280</v>
      </c>
      <c r="AJ14" s="672"/>
      <c r="AK14" s="672"/>
      <c r="AL14" s="672">
        <v>280</v>
      </c>
      <c r="AM14" s="672"/>
      <c r="AN14" s="672"/>
      <c r="AO14" s="672"/>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806">
        <v>2021</v>
      </c>
      <c r="AC15" s="806"/>
      <c r="AD15" s="801" t="s">
        <v>135</v>
      </c>
      <c r="AE15" s="801"/>
      <c r="AF15" s="801"/>
      <c r="AG15" s="801"/>
      <c r="AH15" s="801"/>
      <c r="AI15" s="673">
        <v>130</v>
      </c>
      <c r="AJ15" s="673"/>
      <c r="AK15" s="673"/>
      <c r="AL15" s="673">
        <v>130</v>
      </c>
      <c r="AM15" s="673"/>
      <c r="AN15" s="673"/>
      <c r="AO15" s="673"/>
      <c r="AP15" s="674">
        <f t="shared" si="1"/>
        <v>1</v>
      </c>
      <c r="AQ15" s="674"/>
      <c r="AR15" s="668">
        <f t="shared" ref="AR15" si="2">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806"/>
      <c r="AC16" s="806"/>
      <c r="AD16" s="801" t="s">
        <v>136</v>
      </c>
      <c r="AE16" s="801"/>
      <c r="AF16" s="801"/>
      <c r="AG16" s="801"/>
      <c r="AH16" s="801"/>
      <c r="AI16" s="673">
        <v>132</v>
      </c>
      <c r="AJ16" s="673"/>
      <c r="AK16" s="673"/>
      <c r="AL16" s="673">
        <v>132</v>
      </c>
      <c r="AM16" s="673"/>
      <c r="AN16" s="673"/>
      <c r="AO16" s="673"/>
      <c r="AP16" s="674">
        <f t="shared" si="1"/>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806"/>
      <c r="AC17" s="806"/>
      <c r="AD17" s="801" t="s">
        <v>137</v>
      </c>
      <c r="AE17" s="801"/>
      <c r="AF17" s="801"/>
      <c r="AG17" s="801"/>
      <c r="AH17" s="801"/>
      <c r="AI17" s="673">
        <v>170</v>
      </c>
      <c r="AJ17" s="673"/>
      <c r="AK17" s="673"/>
      <c r="AL17" s="673">
        <v>170</v>
      </c>
      <c r="AM17" s="673"/>
      <c r="AN17" s="673"/>
      <c r="AO17" s="673"/>
      <c r="AP17" s="674">
        <f t="shared" si="1"/>
        <v>1</v>
      </c>
      <c r="AQ17" s="674"/>
      <c r="AR17" s="668"/>
    </row>
    <row r="18" spans="2:44" ht="28.5" customHeight="1">
      <c r="B18" s="43" t="s">
        <v>310</v>
      </c>
      <c r="C18" s="607" t="s">
        <v>112</v>
      </c>
      <c r="D18" s="608"/>
      <c r="E18" s="644">
        <v>1</v>
      </c>
      <c r="F18" s="644"/>
      <c r="G18" s="632" t="s">
        <v>311</v>
      </c>
      <c r="H18" s="632"/>
      <c r="I18" s="632"/>
      <c r="J18" s="632"/>
      <c r="K18" s="632"/>
      <c r="L18" s="632"/>
      <c r="M18" s="595" t="s">
        <v>123</v>
      </c>
      <c r="N18" s="595"/>
      <c r="O18" s="595"/>
      <c r="P18" s="595"/>
      <c r="Q18" s="595"/>
      <c r="R18" s="596" t="s">
        <v>124</v>
      </c>
      <c r="S18" s="596"/>
      <c r="T18" s="596"/>
      <c r="U18" s="596"/>
      <c r="V18" s="597" t="s">
        <v>125</v>
      </c>
      <c r="W18" s="597"/>
      <c r="X18" s="597"/>
      <c r="AB18" s="806"/>
      <c r="AC18" s="806"/>
      <c r="AD18" s="801" t="s">
        <v>138</v>
      </c>
      <c r="AE18" s="801"/>
      <c r="AF18" s="801"/>
      <c r="AG18" s="801"/>
      <c r="AH18" s="801"/>
      <c r="AI18" s="673">
        <v>207</v>
      </c>
      <c r="AJ18" s="673"/>
      <c r="AK18" s="673"/>
      <c r="AL18" s="673">
        <v>207</v>
      </c>
      <c r="AM18" s="673"/>
      <c r="AN18" s="673"/>
      <c r="AO18" s="673"/>
      <c r="AP18" s="674">
        <f t="shared" si="1"/>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805">
        <v>2022</v>
      </c>
      <c r="AC19" s="805"/>
      <c r="AD19" s="797" t="s">
        <v>139</v>
      </c>
      <c r="AE19" s="797"/>
      <c r="AF19" s="797"/>
      <c r="AG19" s="797"/>
      <c r="AH19" s="797"/>
      <c r="AI19" s="672">
        <v>378</v>
      </c>
      <c r="AJ19" s="672"/>
      <c r="AK19" s="672"/>
      <c r="AL19" s="672">
        <v>849600000</v>
      </c>
      <c r="AM19" s="672"/>
      <c r="AN19" s="672"/>
      <c r="AO19" s="672"/>
      <c r="AP19" s="671">
        <f t="shared" si="1"/>
        <v>2247619.0476190476</v>
      </c>
      <c r="AQ19" s="671"/>
      <c r="AR19" s="669" t="e">
        <f t="shared" ref="AR19" si="3">SUM(AP19:AQ22)/4</f>
        <v>#DIV/0!</v>
      </c>
    </row>
    <row r="20" spans="2:44" ht="45.4" customHeight="1">
      <c r="B20" s="780" t="s">
        <v>312</v>
      </c>
      <c r="C20" s="592"/>
      <c r="D20" s="592"/>
      <c r="E20" s="592"/>
      <c r="F20" s="592"/>
      <c r="G20" s="592"/>
      <c r="H20" s="592"/>
      <c r="I20" s="592"/>
      <c r="J20" s="592"/>
      <c r="K20" s="592"/>
      <c r="L20" s="593"/>
      <c r="M20" s="607"/>
      <c r="N20" s="643"/>
      <c r="O20" s="643"/>
      <c r="P20" s="643"/>
      <c r="Q20" s="643"/>
      <c r="R20" s="643"/>
      <c r="S20" s="643"/>
      <c r="T20" s="643"/>
      <c r="U20" s="643"/>
      <c r="V20" s="643"/>
      <c r="W20" s="643"/>
      <c r="X20" s="608"/>
      <c r="AA20" s="51"/>
      <c r="AB20" s="805"/>
      <c r="AC20" s="805"/>
      <c r="AD20" s="797" t="s">
        <v>140</v>
      </c>
      <c r="AE20" s="797"/>
      <c r="AF20" s="797"/>
      <c r="AG20" s="797"/>
      <c r="AH20" s="797"/>
      <c r="AI20" s="672">
        <v>486</v>
      </c>
      <c r="AJ20" s="672"/>
      <c r="AK20" s="672"/>
      <c r="AL20" s="672">
        <v>947700000</v>
      </c>
      <c r="AM20" s="672"/>
      <c r="AN20" s="672"/>
      <c r="AO20" s="672"/>
      <c r="AP20" s="671">
        <f t="shared" si="1"/>
        <v>1950000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805"/>
      <c r="AC21" s="805"/>
      <c r="AD21" s="797" t="s">
        <v>141</v>
      </c>
      <c r="AE21" s="797"/>
      <c r="AF21" s="797"/>
      <c r="AG21" s="797"/>
      <c r="AH21" s="797"/>
      <c r="AI21" s="672"/>
      <c r="AJ21" s="672"/>
      <c r="AK21" s="672"/>
      <c r="AL21" s="672"/>
      <c r="AM21" s="672"/>
      <c r="AN21" s="672"/>
      <c r="AO21" s="672"/>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805"/>
      <c r="AC22" s="805"/>
      <c r="AD22" s="797" t="s">
        <v>142</v>
      </c>
      <c r="AE22" s="797"/>
      <c r="AF22" s="797"/>
      <c r="AG22" s="797"/>
      <c r="AH22" s="797"/>
      <c r="AI22" s="672"/>
      <c r="AJ22" s="672"/>
      <c r="AK22" s="672"/>
      <c r="AL22" s="672"/>
      <c r="AM22" s="672"/>
      <c r="AN22" s="672"/>
      <c r="AO22" s="672"/>
      <c r="AP22" s="671" t="e">
        <f t="shared" si="1"/>
        <v>#DIV/0!</v>
      </c>
      <c r="AQ22" s="671"/>
      <c r="AR22" s="669"/>
    </row>
    <row r="23" spans="2:44" ht="18.95" customHeight="1">
      <c r="B23" s="633" t="s">
        <v>25</v>
      </c>
      <c r="C23" s="633"/>
      <c r="D23" s="682">
        <f>AL15</f>
        <v>130</v>
      </c>
      <c r="E23" s="683"/>
      <c r="F23" s="684"/>
      <c r="G23" s="685">
        <f>AL16</f>
        <v>132</v>
      </c>
      <c r="H23" s="872"/>
      <c r="I23" s="872"/>
      <c r="J23" s="872"/>
      <c r="K23" s="872"/>
      <c r="L23" s="872"/>
      <c r="M23" s="873"/>
      <c r="N23" s="682">
        <f>AL17</f>
        <v>170</v>
      </c>
      <c r="O23" s="683"/>
      <c r="P23" s="683"/>
      <c r="Q23" s="683"/>
      <c r="R23" s="683"/>
      <c r="S23" s="684"/>
      <c r="T23" s="685">
        <f>AL18</f>
        <v>207</v>
      </c>
      <c r="U23" s="643"/>
      <c r="V23" s="643"/>
      <c r="W23" s="643"/>
      <c r="X23" s="608"/>
      <c r="Z23" s="52"/>
      <c r="AA23" s="52"/>
    </row>
    <row r="24" spans="2:44" ht="18.95" customHeight="1">
      <c r="B24" s="633" t="s">
        <v>26</v>
      </c>
      <c r="C24" s="633"/>
      <c r="D24" s="682">
        <f>AI15</f>
        <v>130</v>
      </c>
      <c r="E24" s="683"/>
      <c r="F24" s="684"/>
      <c r="G24" s="685">
        <f>AI16</f>
        <v>132</v>
      </c>
      <c r="H24" s="643"/>
      <c r="I24" s="643"/>
      <c r="J24" s="643"/>
      <c r="K24" s="643"/>
      <c r="L24" s="643"/>
      <c r="M24" s="608"/>
      <c r="N24" s="682">
        <f>AI17</f>
        <v>170</v>
      </c>
      <c r="O24" s="683"/>
      <c r="P24" s="683"/>
      <c r="Q24" s="683"/>
      <c r="R24" s="683"/>
      <c r="S24" s="684"/>
      <c r="T24" s="685">
        <f>AI18</f>
        <v>207</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4">
    <tabColor theme="5" tint="-0.249977111117893"/>
    <pageSetUpPr fitToPage="1"/>
  </sheetPr>
  <dimension ref="B1:AY50"/>
  <sheetViews>
    <sheetView topLeftCell="A6" zoomScale="80" zoomScaleNormal="80" zoomScaleSheetLayoutView="100" workbookViewId="0">
      <selection activeCell="AD26" sqref="AD2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2" width="4.625" style="46"/>
    <col min="43" max="43" width="11.5" style="46" customWidth="1"/>
    <col min="44" max="44" width="13.375" style="23" bestFit="1" customWidth="1"/>
    <col min="45" max="48" width="4.625" style="23"/>
    <col min="49" max="49" width="4.625" style="23" customWidth="1"/>
    <col min="50" max="50" width="9.5" style="23" bestFit="1" customWidth="1"/>
    <col min="51" max="51" width="13.75" style="23" bestFit="1" customWidth="1"/>
    <col min="52" max="16384" width="4.625" style="23"/>
  </cols>
  <sheetData>
    <row r="1" spans="2:51"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51"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51"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51"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51"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51"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51" ht="14.25" customHeight="1">
      <c r="B7" s="645" t="s">
        <v>76</v>
      </c>
      <c r="C7" s="646"/>
      <c r="D7" s="646"/>
      <c r="E7" s="646"/>
      <c r="F7" s="647"/>
      <c r="G7" s="651" t="s">
        <v>82</v>
      </c>
      <c r="H7" s="652"/>
      <c r="I7" s="652"/>
      <c r="J7" s="652"/>
      <c r="K7" s="652"/>
      <c r="L7" s="652"/>
      <c r="M7" s="652"/>
      <c r="N7" s="652"/>
      <c r="O7" s="652"/>
      <c r="P7" s="652"/>
      <c r="Q7" s="652"/>
      <c r="R7" s="652"/>
      <c r="S7" s="652"/>
      <c r="T7" s="652"/>
      <c r="U7" s="652"/>
      <c r="V7" s="652"/>
      <c r="W7" s="652"/>
      <c r="X7" s="653"/>
      <c r="AB7" s="806">
        <v>2019</v>
      </c>
      <c r="AC7" s="806"/>
      <c r="AD7" s="801" t="s">
        <v>127</v>
      </c>
      <c r="AE7" s="801"/>
      <c r="AF7" s="801"/>
      <c r="AG7" s="801"/>
      <c r="AH7" s="801"/>
      <c r="AI7" s="866">
        <v>1388560000</v>
      </c>
      <c r="AJ7" s="866"/>
      <c r="AK7" s="866"/>
      <c r="AL7" s="866">
        <v>301455290</v>
      </c>
      <c r="AM7" s="866"/>
      <c r="AN7" s="866"/>
      <c r="AO7" s="866"/>
      <c r="AP7" s="674">
        <f t="shared" ref="AP7:AP10" si="0">AL7/AI7</f>
        <v>0.2170992178947975</v>
      </c>
      <c r="AQ7" s="674"/>
      <c r="AR7" s="674">
        <f>AI7-AL7-AL8-AL9-AL10</f>
        <v>-768527165</v>
      </c>
    </row>
    <row r="8" spans="2:51"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806"/>
      <c r="AC8" s="806"/>
      <c r="AD8" s="801" t="s">
        <v>128</v>
      </c>
      <c r="AE8" s="801"/>
      <c r="AF8" s="801"/>
      <c r="AG8" s="801"/>
      <c r="AH8" s="801"/>
      <c r="AI8" s="866">
        <f>AI7-AL7</f>
        <v>1087104710</v>
      </c>
      <c r="AJ8" s="866"/>
      <c r="AK8" s="866"/>
      <c r="AL8" s="866">
        <v>815810081</v>
      </c>
      <c r="AM8" s="866"/>
      <c r="AN8" s="866"/>
      <c r="AO8" s="866"/>
      <c r="AP8" s="674">
        <f t="shared" si="0"/>
        <v>0.75044296422926915</v>
      </c>
      <c r="AQ8" s="674"/>
      <c r="AR8" s="674"/>
    </row>
    <row r="9" spans="2:51"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806"/>
      <c r="AC9" s="806"/>
      <c r="AD9" s="801" t="s">
        <v>129</v>
      </c>
      <c r="AE9" s="801"/>
      <c r="AF9" s="801"/>
      <c r="AG9" s="801"/>
      <c r="AH9" s="801"/>
      <c r="AI9" s="866">
        <f>AI8-AL8</f>
        <v>271294629</v>
      </c>
      <c r="AJ9" s="866"/>
      <c r="AK9" s="866"/>
      <c r="AL9" s="866">
        <v>271289843</v>
      </c>
      <c r="AM9" s="866"/>
      <c r="AN9" s="866"/>
      <c r="AO9" s="866"/>
      <c r="AP9" s="674">
        <f t="shared" si="0"/>
        <v>0.9999823586629133</v>
      </c>
      <c r="AQ9" s="674"/>
      <c r="AR9" s="674"/>
    </row>
    <row r="10" spans="2:51"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806"/>
      <c r="AC10" s="806"/>
      <c r="AD10" s="801" t="s">
        <v>130</v>
      </c>
      <c r="AE10" s="801"/>
      <c r="AF10" s="801"/>
      <c r="AG10" s="801"/>
      <c r="AH10" s="801"/>
      <c r="AI10" s="866">
        <v>3297063951</v>
      </c>
      <c r="AJ10" s="866"/>
      <c r="AK10" s="866"/>
      <c r="AL10" s="866">
        <v>768531951</v>
      </c>
      <c r="AM10" s="866"/>
      <c r="AN10" s="866"/>
      <c r="AO10" s="866"/>
      <c r="AP10" s="674">
        <f t="shared" si="0"/>
        <v>0.23309585813975617</v>
      </c>
      <c r="AQ10" s="674"/>
      <c r="AR10" s="674"/>
    </row>
    <row r="11" spans="2:51" ht="38.25" customHeight="1">
      <c r="B11" s="640" t="s">
        <v>172</v>
      </c>
      <c r="C11" s="640"/>
      <c r="D11" s="640"/>
      <c r="E11" s="640"/>
      <c r="F11" s="640"/>
      <c r="G11" s="640"/>
      <c r="H11" s="640"/>
      <c r="I11" s="640"/>
      <c r="J11" s="640"/>
      <c r="K11" s="640"/>
      <c r="L11" s="640"/>
      <c r="M11" s="640"/>
      <c r="N11" s="640"/>
      <c r="O11" s="640"/>
      <c r="P11" s="640"/>
      <c r="Q11" s="640"/>
      <c r="R11" s="640"/>
      <c r="S11" s="640"/>
      <c r="T11" s="640"/>
      <c r="U11" s="640"/>
      <c r="V11" s="640"/>
      <c r="W11" s="640"/>
      <c r="X11" s="640"/>
      <c r="AB11" s="805">
        <v>2020</v>
      </c>
      <c r="AC11" s="805"/>
      <c r="AD11" s="797" t="s">
        <v>131</v>
      </c>
      <c r="AE11" s="797"/>
      <c r="AF11" s="797"/>
      <c r="AG11" s="797"/>
      <c r="AH11" s="797"/>
      <c r="AI11" s="867">
        <v>2528532000</v>
      </c>
      <c r="AJ11" s="868"/>
      <c r="AK11" s="869"/>
      <c r="AL11" s="865">
        <v>1120316176</v>
      </c>
      <c r="AM11" s="865"/>
      <c r="AN11" s="865"/>
      <c r="AO11" s="865"/>
      <c r="AP11" s="671">
        <f>AL11/AI11</f>
        <v>0.443069803348346</v>
      </c>
      <c r="AQ11" s="671"/>
      <c r="AR11" s="671">
        <f>AI11-AL11-AL12-AL13-AL14</f>
        <v>1</v>
      </c>
    </row>
    <row r="12" spans="2:51"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805"/>
      <c r="AC12" s="805"/>
      <c r="AD12" s="797" t="s">
        <v>132</v>
      </c>
      <c r="AE12" s="797"/>
      <c r="AF12" s="797"/>
      <c r="AG12" s="797"/>
      <c r="AH12" s="797"/>
      <c r="AI12" s="867">
        <f>AI11-AL11</f>
        <v>1408215824</v>
      </c>
      <c r="AJ12" s="868"/>
      <c r="AK12" s="869"/>
      <c r="AL12" s="865">
        <v>496104840</v>
      </c>
      <c r="AM12" s="865"/>
      <c r="AN12" s="865"/>
      <c r="AO12" s="865"/>
      <c r="AP12" s="671">
        <f t="shared" ref="AP12:AP22" si="1">AL12/AI12</f>
        <v>0.35229318655916481</v>
      </c>
      <c r="AQ12" s="671"/>
      <c r="AR12" s="671"/>
    </row>
    <row r="13" spans="2:51"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805"/>
      <c r="AC13" s="805"/>
      <c r="AD13" s="797" t="s">
        <v>133</v>
      </c>
      <c r="AE13" s="797"/>
      <c r="AF13" s="797"/>
      <c r="AG13" s="797"/>
      <c r="AH13" s="797"/>
      <c r="AI13" s="867">
        <f>AI12-AL12</f>
        <v>912110984</v>
      </c>
      <c r="AJ13" s="868"/>
      <c r="AK13" s="869"/>
      <c r="AL13" s="865">
        <v>751657364</v>
      </c>
      <c r="AM13" s="865"/>
      <c r="AN13" s="865"/>
      <c r="AO13" s="865"/>
      <c r="AP13" s="671">
        <f t="shared" si="1"/>
        <v>0.82408542072770385</v>
      </c>
      <c r="AQ13" s="671"/>
      <c r="AR13" s="671"/>
    </row>
    <row r="14" spans="2:51" ht="29.25" customHeight="1">
      <c r="B14" s="632" t="s">
        <v>314</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805"/>
      <c r="AC14" s="805"/>
      <c r="AD14" s="797" t="s">
        <v>134</v>
      </c>
      <c r="AE14" s="797"/>
      <c r="AF14" s="797"/>
      <c r="AG14" s="797"/>
      <c r="AH14" s="797"/>
      <c r="AI14" s="867">
        <f>AI13-AL13</f>
        <v>160453620</v>
      </c>
      <c r="AJ14" s="868"/>
      <c r="AK14" s="869"/>
      <c r="AL14" s="865">
        <v>160453619</v>
      </c>
      <c r="AM14" s="865"/>
      <c r="AN14" s="865"/>
      <c r="AO14" s="865"/>
      <c r="AP14" s="671">
        <f t="shared" si="1"/>
        <v>0.99999999376766946</v>
      </c>
      <c r="AQ14" s="671"/>
      <c r="AR14" s="671"/>
    </row>
    <row r="15" spans="2:51"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806">
        <v>2021</v>
      </c>
      <c r="AC15" s="806"/>
      <c r="AD15" s="801" t="s">
        <v>135</v>
      </c>
      <c r="AE15" s="801"/>
      <c r="AF15" s="801"/>
      <c r="AG15" s="801"/>
      <c r="AH15" s="801"/>
      <c r="AI15" s="866">
        <v>1123748320</v>
      </c>
      <c r="AJ15" s="866"/>
      <c r="AK15" s="866"/>
      <c r="AL15" s="866">
        <f>185748320+350000000</f>
        <v>535748320</v>
      </c>
      <c r="AM15" s="866"/>
      <c r="AN15" s="866"/>
      <c r="AO15" s="866"/>
      <c r="AP15" s="674">
        <f t="shared" si="1"/>
        <v>0.47675116435324238</v>
      </c>
      <c r="AQ15" s="674"/>
      <c r="AR15" s="951">
        <f>(AI15+480000000)-AL15-AL16-AL17-AL18</f>
        <v>-486140000</v>
      </c>
    </row>
    <row r="16" spans="2:51"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806"/>
      <c r="AC16" s="806"/>
      <c r="AD16" s="801" t="s">
        <v>136</v>
      </c>
      <c r="AE16" s="801"/>
      <c r="AF16" s="801"/>
      <c r="AG16" s="801"/>
      <c r="AH16" s="801"/>
      <c r="AI16" s="866">
        <f>AI15-AL15</f>
        <v>588000000</v>
      </c>
      <c r="AJ16" s="866"/>
      <c r="AK16" s="866"/>
      <c r="AL16" s="866">
        <v>360903879</v>
      </c>
      <c r="AM16" s="866"/>
      <c r="AN16" s="866"/>
      <c r="AO16" s="866"/>
      <c r="AP16" s="674">
        <f>AL16/AI16</f>
        <v>0.61378210714285719</v>
      </c>
      <c r="AQ16" s="674"/>
      <c r="AR16" s="674"/>
      <c r="AX16" s="23">
        <v>480000000</v>
      </c>
      <c r="AY16" s="120">
        <f>AI15+AX16</f>
        <v>1603748320</v>
      </c>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806"/>
      <c r="AC17" s="806"/>
      <c r="AD17" s="801" t="s">
        <v>137</v>
      </c>
      <c r="AE17" s="801"/>
      <c r="AF17" s="801"/>
      <c r="AG17" s="801"/>
      <c r="AH17" s="801"/>
      <c r="AI17" s="866">
        <f>(AI16-AL16)+480000000</f>
        <v>707096121</v>
      </c>
      <c r="AJ17" s="866"/>
      <c r="AK17" s="866"/>
      <c r="AL17" s="866">
        <v>417195243</v>
      </c>
      <c r="AM17" s="866"/>
      <c r="AN17" s="866"/>
      <c r="AO17" s="866"/>
      <c r="AP17" s="674">
        <f>AL17/AI17</f>
        <v>0.59001206570047071</v>
      </c>
      <c r="AQ17" s="674"/>
      <c r="AR17" s="674"/>
    </row>
    <row r="18" spans="2:44" ht="28.5" customHeight="1">
      <c r="B18" s="43" t="s">
        <v>195</v>
      </c>
      <c r="C18" s="607" t="s">
        <v>112</v>
      </c>
      <c r="D18" s="608"/>
      <c r="E18" s="644">
        <v>1</v>
      </c>
      <c r="F18" s="644"/>
      <c r="G18" s="632" t="s">
        <v>311</v>
      </c>
      <c r="H18" s="632"/>
      <c r="I18" s="632"/>
      <c r="J18" s="632"/>
      <c r="K18" s="632"/>
      <c r="L18" s="632"/>
      <c r="M18" s="595" t="s">
        <v>123</v>
      </c>
      <c r="N18" s="595"/>
      <c r="O18" s="595"/>
      <c r="P18" s="595"/>
      <c r="Q18" s="595"/>
      <c r="R18" s="596" t="s">
        <v>124</v>
      </c>
      <c r="S18" s="596"/>
      <c r="T18" s="596"/>
      <c r="U18" s="596"/>
      <c r="V18" s="597" t="s">
        <v>125</v>
      </c>
      <c r="W18" s="597"/>
      <c r="X18" s="597"/>
      <c r="AB18" s="806"/>
      <c r="AC18" s="806"/>
      <c r="AD18" s="801" t="s">
        <v>138</v>
      </c>
      <c r="AE18" s="801"/>
      <c r="AF18" s="801"/>
      <c r="AG18" s="801"/>
      <c r="AH18" s="801"/>
      <c r="AI18" s="866">
        <v>1605915038</v>
      </c>
      <c r="AJ18" s="866"/>
      <c r="AK18" s="866"/>
      <c r="AL18" s="952">
        <v>776040878</v>
      </c>
      <c r="AM18" s="953"/>
      <c r="AN18" s="953"/>
      <c r="AO18" s="954"/>
      <c r="AP18" s="674">
        <f t="shared" si="1"/>
        <v>0.48323906286255225</v>
      </c>
      <c r="AQ18" s="674"/>
      <c r="AR18" s="674"/>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805">
        <v>2022</v>
      </c>
      <c r="AC19" s="805"/>
      <c r="AD19" s="797" t="s">
        <v>139</v>
      </c>
      <c r="AE19" s="797"/>
      <c r="AF19" s="797"/>
      <c r="AG19" s="797"/>
      <c r="AH19" s="797"/>
      <c r="AI19" s="865">
        <v>849600000</v>
      </c>
      <c r="AJ19" s="865"/>
      <c r="AK19" s="865"/>
      <c r="AL19" s="865">
        <v>849600000</v>
      </c>
      <c r="AM19" s="865"/>
      <c r="AN19" s="865"/>
      <c r="AO19" s="865"/>
      <c r="AP19" s="671">
        <f t="shared" si="1"/>
        <v>1</v>
      </c>
      <c r="AQ19" s="671"/>
      <c r="AR19" s="671">
        <f t="shared" ref="AR19" si="2">AI19-AL19-AL20-AL21-AL22</f>
        <v>-947700000</v>
      </c>
    </row>
    <row r="20" spans="2:44" ht="45.4" customHeight="1">
      <c r="B20" s="607" t="s">
        <v>313</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805"/>
      <c r="AC20" s="805"/>
      <c r="AD20" s="797" t="s">
        <v>140</v>
      </c>
      <c r="AE20" s="797"/>
      <c r="AF20" s="797"/>
      <c r="AG20" s="797"/>
      <c r="AH20" s="797"/>
      <c r="AI20" s="865">
        <v>947700000</v>
      </c>
      <c r="AJ20" s="865"/>
      <c r="AK20" s="865"/>
      <c r="AL20" s="865">
        <v>947700000</v>
      </c>
      <c r="AM20" s="865"/>
      <c r="AN20" s="865"/>
      <c r="AO20" s="865"/>
      <c r="AP20" s="671">
        <f t="shared" si="1"/>
        <v>1</v>
      </c>
      <c r="AQ20" s="671"/>
      <c r="AR20" s="671"/>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805"/>
      <c r="AC21" s="805"/>
      <c r="AD21" s="797" t="s">
        <v>141</v>
      </c>
      <c r="AE21" s="797"/>
      <c r="AF21" s="797"/>
      <c r="AG21" s="797"/>
      <c r="AH21" s="797"/>
      <c r="AI21" s="865"/>
      <c r="AJ21" s="865"/>
      <c r="AK21" s="865"/>
      <c r="AL21" s="865"/>
      <c r="AM21" s="865"/>
      <c r="AN21" s="865"/>
      <c r="AO21" s="865"/>
      <c r="AP21" s="671" t="e">
        <f t="shared" si="1"/>
        <v>#DIV/0!</v>
      </c>
      <c r="AQ21" s="671"/>
      <c r="AR21" s="671"/>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805"/>
      <c r="AC22" s="805"/>
      <c r="AD22" s="797" t="s">
        <v>142</v>
      </c>
      <c r="AE22" s="797"/>
      <c r="AF22" s="797"/>
      <c r="AG22" s="797"/>
      <c r="AH22" s="797"/>
      <c r="AI22" s="865"/>
      <c r="AJ22" s="865"/>
      <c r="AK22" s="865"/>
      <c r="AL22" s="865"/>
      <c r="AM22" s="865"/>
      <c r="AN22" s="865"/>
      <c r="AO22" s="865"/>
      <c r="AP22" s="671" t="e">
        <f t="shared" si="1"/>
        <v>#DIV/0!</v>
      </c>
      <c r="AQ22" s="671"/>
      <c r="AR22" s="671"/>
    </row>
    <row r="23" spans="2:44" ht="18.95" customHeight="1">
      <c r="B23" s="633" t="s">
        <v>25</v>
      </c>
      <c r="C23" s="633"/>
      <c r="D23" s="859">
        <f>AL15</f>
        <v>535748320</v>
      </c>
      <c r="E23" s="860"/>
      <c r="F23" s="861"/>
      <c r="G23" s="862">
        <f>AL16</f>
        <v>360903879</v>
      </c>
      <c r="H23" s="863"/>
      <c r="I23" s="863"/>
      <c r="J23" s="863"/>
      <c r="K23" s="863"/>
      <c r="L23" s="863"/>
      <c r="M23" s="864"/>
      <c r="N23" s="859">
        <f>AL17</f>
        <v>417195243</v>
      </c>
      <c r="O23" s="860"/>
      <c r="P23" s="860"/>
      <c r="Q23" s="860"/>
      <c r="R23" s="860"/>
      <c r="S23" s="861"/>
      <c r="T23" s="862">
        <f>AL18</f>
        <v>776040878</v>
      </c>
      <c r="U23" s="863"/>
      <c r="V23" s="863"/>
      <c r="W23" s="863"/>
      <c r="X23" s="864"/>
      <c r="Z23" s="52"/>
      <c r="AA23" s="52"/>
    </row>
    <row r="24" spans="2:44" ht="18.95" customHeight="1">
      <c r="B24" s="633" t="s">
        <v>26</v>
      </c>
      <c r="C24" s="633"/>
      <c r="D24" s="859">
        <f>AI15</f>
        <v>1123748320</v>
      </c>
      <c r="E24" s="860"/>
      <c r="F24" s="861"/>
      <c r="G24" s="862">
        <f>AI16</f>
        <v>588000000</v>
      </c>
      <c r="H24" s="863"/>
      <c r="I24" s="863"/>
      <c r="J24" s="863"/>
      <c r="K24" s="863"/>
      <c r="L24" s="863"/>
      <c r="M24" s="864"/>
      <c r="N24" s="859">
        <f>AI17</f>
        <v>707096121</v>
      </c>
      <c r="O24" s="860"/>
      <c r="P24" s="860"/>
      <c r="Q24" s="860"/>
      <c r="R24" s="860"/>
      <c r="S24" s="861"/>
      <c r="T24" s="862">
        <f>AI18</f>
        <v>1605915038</v>
      </c>
      <c r="U24" s="863"/>
      <c r="V24" s="863"/>
      <c r="W24" s="863"/>
      <c r="X24" s="864"/>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0.47675116435324238</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0.61378210714285719</v>
      </c>
      <c r="D30" s="686">
        <f t="shared" ref="D30:D36" si="4">$E$18</f>
        <v>1</v>
      </c>
      <c r="E30" s="92">
        <f t="shared" si="3"/>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3"/>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3"/>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0.59001206570047071</v>
      </c>
      <c r="D33" s="686">
        <f t="shared" si="4"/>
        <v>1</v>
      </c>
      <c r="E33" s="92">
        <f t="shared" si="3"/>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3"/>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3"/>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0.48323906286255225</v>
      </c>
      <c r="D36" s="686">
        <f t="shared" si="4"/>
        <v>1</v>
      </c>
      <c r="E36" s="92">
        <f t="shared" si="3"/>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3"/>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6">
    <tabColor rgb="FFFFFF00"/>
    <pageSetUpPr fitToPage="1"/>
  </sheetPr>
  <dimension ref="B1:AR50"/>
  <sheetViews>
    <sheetView topLeftCell="A3" zoomScale="80" zoomScaleNormal="80" zoomScaleSheetLayoutView="100" workbookViewId="0">
      <selection activeCell="AL21" sqref="AL21:AO21"/>
    </sheetView>
  </sheetViews>
  <sheetFormatPr baseColWidth="10" defaultColWidth="4.625" defaultRowHeight="13.5" customHeight="1"/>
  <cols>
    <col min="1" max="1" width="1" style="123" customWidth="1"/>
    <col min="2" max="2" width="9.875" style="123" customWidth="1"/>
    <col min="3" max="3" width="8.5" style="123" customWidth="1"/>
    <col min="4" max="4" width="8.25" style="123" customWidth="1"/>
    <col min="5" max="5" width="8.125" style="123" customWidth="1"/>
    <col min="6" max="6" width="6.625" style="123" customWidth="1"/>
    <col min="7" max="7" width="3.5" style="123" customWidth="1"/>
    <col min="8" max="8" width="2.375" style="123" customWidth="1"/>
    <col min="9" max="9" width="2" style="123" customWidth="1"/>
    <col min="10" max="10" width="7.25" style="123" customWidth="1"/>
    <col min="11" max="11" width="1.75" style="123" customWidth="1"/>
    <col min="12" max="12" width="2.125" style="123" customWidth="1"/>
    <col min="13" max="13" width="2.375" style="123" customWidth="1"/>
    <col min="14" max="14" width="6.125" style="123" customWidth="1"/>
    <col min="15" max="15" width="4.5" style="123" customWidth="1"/>
    <col min="16" max="16" width="2" style="123" customWidth="1"/>
    <col min="17" max="17" width="1.5" style="123" customWidth="1"/>
    <col min="18" max="18" width="3.75" style="123" customWidth="1"/>
    <col min="19" max="19" width="5.375" style="123" customWidth="1"/>
    <col min="20" max="20" width="3.875" style="123" customWidth="1"/>
    <col min="21" max="21" width="4.375" style="123" customWidth="1"/>
    <col min="22" max="22" width="5.875" style="123" customWidth="1"/>
    <col min="23" max="23" width="5.75" style="123" customWidth="1"/>
    <col min="24" max="24" width="6.25" style="123" customWidth="1"/>
    <col min="25" max="25" width="1.375" style="94" customWidth="1"/>
    <col min="26" max="26" width="3.25" style="95" customWidth="1"/>
    <col min="27" max="27" width="3.75" style="95" customWidth="1"/>
    <col min="28" max="43" width="4.625" style="95"/>
    <col min="44" max="44" width="8.25" style="123" customWidth="1"/>
    <col min="45" max="16384" width="4.625" style="123"/>
  </cols>
  <sheetData>
    <row r="1" spans="2:44" ht="20.25" customHeight="1">
      <c r="B1" s="838" t="s">
        <v>72</v>
      </c>
      <c r="C1" s="839"/>
      <c r="D1" s="839"/>
      <c r="E1" s="839"/>
      <c r="F1" s="839"/>
      <c r="G1" s="839"/>
      <c r="H1" s="839"/>
      <c r="I1" s="839"/>
      <c r="J1" s="839"/>
      <c r="K1" s="839"/>
      <c r="L1" s="839"/>
      <c r="M1" s="839"/>
      <c r="N1" s="839"/>
      <c r="O1" s="839"/>
      <c r="P1" s="839"/>
      <c r="Q1" s="839"/>
      <c r="R1" s="839"/>
      <c r="S1" s="839"/>
      <c r="T1" s="840"/>
      <c r="U1" s="841"/>
      <c r="V1" s="842"/>
      <c r="W1" s="842"/>
      <c r="X1" s="843"/>
      <c r="AB1" s="667" t="s">
        <v>447</v>
      </c>
      <c r="AC1" s="667"/>
      <c r="AD1" s="667"/>
      <c r="AE1" s="667"/>
      <c r="AF1" s="667"/>
      <c r="AG1" s="667"/>
      <c r="AH1" s="667"/>
      <c r="AI1" s="667"/>
      <c r="AJ1" s="667"/>
      <c r="AK1" s="667"/>
      <c r="AL1" s="667"/>
      <c r="AM1" s="667"/>
      <c r="AN1" s="667"/>
      <c r="AO1" s="667"/>
      <c r="AP1" s="667"/>
      <c r="AQ1" s="667"/>
      <c r="AR1" s="667"/>
    </row>
    <row r="2" spans="2:44" ht="13.5" customHeight="1">
      <c r="B2" s="850" t="s">
        <v>75</v>
      </c>
      <c r="C2" s="851"/>
      <c r="D2" s="851"/>
      <c r="E2" s="851"/>
      <c r="F2" s="851"/>
      <c r="G2" s="851"/>
      <c r="H2" s="851"/>
      <c r="I2" s="851"/>
      <c r="J2" s="851"/>
      <c r="K2" s="851"/>
      <c r="L2" s="851"/>
      <c r="M2" s="851"/>
      <c r="N2" s="851"/>
      <c r="O2" s="851"/>
      <c r="P2" s="851"/>
      <c r="Q2" s="851"/>
      <c r="R2" s="851"/>
      <c r="S2" s="851"/>
      <c r="T2" s="852"/>
      <c r="U2" s="844"/>
      <c r="V2" s="845"/>
      <c r="W2" s="845"/>
      <c r="X2" s="846"/>
    </row>
    <row r="3" spans="2:44" ht="13.5" customHeight="1">
      <c r="B3" s="853"/>
      <c r="C3" s="854"/>
      <c r="D3" s="854"/>
      <c r="E3" s="854"/>
      <c r="F3" s="854"/>
      <c r="G3" s="854"/>
      <c r="H3" s="854"/>
      <c r="I3" s="854"/>
      <c r="J3" s="854"/>
      <c r="K3" s="854"/>
      <c r="L3" s="854"/>
      <c r="M3" s="854"/>
      <c r="N3" s="854"/>
      <c r="O3" s="854"/>
      <c r="P3" s="854"/>
      <c r="Q3" s="854"/>
      <c r="R3" s="854"/>
      <c r="S3" s="854"/>
      <c r="T3" s="855"/>
      <c r="U3" s="844"/>
      <c r="V3" s="845"/>
      <c r="W3" s="845"/>
      <c r="X3" s="846"/>
      <c r="AB3" s="676" t="s">
        <v>194</v>
      </c>
      <c r="AC3" s="676"/>
      <c r="AD3" s="676"/>
      <c r="AE3" s="676"/>
      <c r="AF3" s="676"/>
      <c r="AG3" s="676"/>
      <c r="AH3" s="676"/>
      <c r="AI3" s="676"/>
      <c r="AJ3" s="676"/>
      <c r="AK3" s="676"/>
      <c r="AL3" s="676"/>
      <c r="AM3" s="676"/>
      <c r="AN3" s="676"/>
      <c r="AO3" s="676"/>
      <c r="AP3" s="676"/>
      <c r="AQ3" s="676"/>
      <c r="AR3" s="676"/>
    </row>
    <row r="4" spans="2:44" ht="13.5" customHeight="1">
      <c r="B4" s="856"/>
      <c r="C4" s="857"/>
      <c r="D4" s="857"/>
      <c r="E4" s="857"/>
      <c r="F4" s="857"/>
      <c r="G4" s="857"/>
      <c r="H4" s="857"/>
      <c r="I4" s="857"/>
      <c r="J4" s="857"/>
      <c r="K4" s="857"/>
      <c r="L4" s="857"/>
      <c r="M4" s="857"/>
      <c r="N4" s="857"/>
      <c r="O4" s="857"/>
      <c r="P4" s="857"/>
      <c r="Q4" s="857"/>
      <c r="R4" s="857"/>
      <c r="S4" s="857"/>
      <c r="T4" s="858"/>
      <c r="U4" s="847"/>
      <c r="V4" s="848"/>
      <c r="W4" s="848"/>
      <c r="X4" s="849"/>
      <c r="AB4" s="676"/>
      <c r="AC4" s="676"/>
      <c r="AD4" s="676"/>
      <c r="AE4" s="676"/>
      <c r="AF4" s="676"/>
      <c r="AG4" s="676"/>
      <c r="AH4" s="676"/>
      <c r="AI4" s="676"/>
      <c r="AJ4" s="676"/>
      <c r="AK4" s="676"/>
      <c r="AL4" s="676"/>
      <c r="AM4" s="676"/>
      <c r="AN4" s="676"/>
      <c r="AO4" s="676"/>
      <c r="AP4" s="676"/>
      <c r="AQ4" s="676"/>
      <c r="AR4" s="676"/>
    </row>
    <row r="5" spans="2:44" s="41" customFormat="1" ht="14.25" customHeight="1">
      <c r="B5" s="121" t="s">
        <v>0</v>
      </c>
      <c r="C5" s="561" t="s">
        <v>126</v>
      </c>
      <c r="D5" s="561"/>
      <c r="E5" s="562" t="s">
        <v>1</v>
      </c>
      <c r="F5" s="562"/>
      <c r="G5" s="562"/>
      <c r="H5" s="561" t="s">
        <v>118</v>
      </c>
      <c r="I5" s="561"/>
      <c r="J5" s="561"/>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825"/>
      <c r="C6" s="825"/>
      <c r="D6" s="825"/>
      <c r="E6" s="825"/>
      <c r="F6" s="825"/>
      <c r="G6" s="825"/>
      <c r="H6" s="825"/>
      <c r="I6" s="825"/>
      <c r="J6" s="825"/>
      <c r="K6" s="825"/>
      <c r="L6" s="825"/>
      <c r="M6" s="825"/>
      <c r="N6" s="825"/>
      <c r="O6" s="825"/>
      <c r="P6" s="825"/>
      <c r="Q6" s="825"/>
      <c r="R6" s="825"/>
      <c r="S6" s="825"/>
      <c r="T6" s="825"/>
      <c r="U6" s="825"/>
      <c r="V6" s="825"/>
      <c r="W6" s="825"/>
      <c r="X6" s="825"/>
      <c r="AB6" s="675"/>
      <c r="AC6" s="675"/>
      <c r="AD6" s="675"/>
      <c r="AE6" s="675"/>
      <c r="AF6" s="675"/>
      <c r="AG6" s="675"/>
      <c r="AH6" s="675"/>
      <c r="AI6" s="675"/>
      <c r="AJ6" s="675"/>
      <c r="AK6" s="675"/>
      <c r="AL6" s="675"/>
      <c r="AM6" s="675"/>
      <c r="AN6" s="675"/>
      <c r="AO6" s="675"/>
      <c r="AP6" s="676"/>
      <c r="AQ6" s="676"/>
      <c r="AR6" s="678"/>
    </row>
    <row r="7" spans="2:44" ht="14.25" customHeight="1">
      <c r="B7" s="826" t="s">
        <v>76</v>
      </c>
      <c r="C7" s="827"/>
      <c r="D7" s="827"/>
      <c r="E7" s="827"/>
      <c r="F7" s="828"/>
      <c r="G7" s="832" t="s">
        <v>87</v>
      </c>
      <c r="H7" s="833"/>
      <c r="I7" s="833"/>
      <c r="J7" s="833"/>
      <c r="K7" s="833"/>
      <c r="L7" s="833"/>
      <c r="M7" s="833"/>
      <c r="N7" s="833"/>
      <c r="O7" s="833"/>
      <c r="P7" s="833"/>
      <c r="Q7" s="833"/>
      <c r="R7" s="833"/>
      <c r="S7" s="833"/>
      <c r="T7" s="833"/>
      <c r="U7" s="833"/>
      <c r="V7" s="833"/>
      <c r="W7" s="833"/>
      <c r="X7" s="834"/>
      <c r="AB7" s="806">
        <v>2019</v>
      </c>
      <c r="AC7" s="806"/>
      <c r="AD7" s="801" t="s">
        <v>127</v>
      </c>
      <c r="AE7" s="801"/>
      <c r="AF7" s="801"/>
      <c r="AG7" s="801"/>
      <c r="AH7" s="801"/>
      <c r="AI7" s="673">
        <v>6361</v>
      </c>
      <c r="AJ7" s="673"/>
      <c r="AK7" s="673"/>
      <c r="AL7" s="673">
        <v>781</v>
      </c>
      <c r="AM7" s="673"/>
      <c r="AN7" s="673"/>
      <c r="AO7" s="673"/>
      <c r="AP7" s="674">
        <f t="shared" ref="AP7:AP10" si="0">AL7/AI7</f>
        <v>0.12277943719540953</v>
      </c>
      <c r="AQ7" s="674"/>
      <c r="AR7" s="668">
        <f>SUM(AP7:AQ10)/4</f>
        <v>0.13008960855211446</v>
      </c>
    </row>
    <row r="8" spans="2:44" ht="14.25" customHeight="1">
      <c r="B8" s="829"/>
      <c r="C8" s="830"/>
      <c r="D8" s="830"/>
      <c r="E8" s="830"/>
      <c r="F8" s="831"/>
      <c r="G8" s="835"/>
      <c r="H8" s="836"/>
      <c r="I8" s="836"/>
      <c r="J8" s="836"/>
      <c r="K8" s="836"/>
      <c r="L8" s="836"/>
      <c r="M8" s="836"/>
      <c r="N8" s="836"/>
      <c r="O8" s="836"/>
      <c r="P8" s="836"/>
      <c r="Q8" s="836"/>
      <c r="R8" s="836"/>
      <c r="S8" s="836"/>
      <c r="T8" s="836"/>
      <c r="U8" s="836"/>
      <c r="V8" s="836"/>
      <c r="W8" s="836"/>
      <c r="X8" s="837"/>
      <c r="AB8" s="806"/>
      <c r="AC8" s="806"/>
      <c r="AD8" s="801" t="s">
        <v>128</v>
      </c>
      <c r="AE8" s="801"/>
      <c r="AF8" s="801"/>
      <c r="AG8" s="801"/>
      <c r="AH8" s="801"/>
      <c r="AI8" s="673">
        <v>6361</v>
      </c>
      <c r="AJ8" s="673"/>
      <c r="AK8" s="673"/>
      <c r="AL8" s="673">
        <v>742</v>
      </c>
      <c r="AM8" s="673"/>
      <c r="AN8" s="673"/>
      <c r="AO8" s="673"/>
      <c r="AP8" s="674">
        <f t="shared" si="0"/>
        <v>0.11664832573494734</v>
      </c>
      <c r="AQ8" s="674"/>
      <c r="AR8" s="668"/>
    </row>
    <row r="9" spans="2:44" ht="19.149999999999999" customHeight="1">
      <c r="B9" s="791" t="s">
        <v>49</v>
      </c>
      <c r="C9" s="792"/>
      <c r="D9" s="792"/>
      <c r="E9" s="792"/>
      <c r="F9" s="792"/>
      <c r="G9" s="792"/>
      <c r="H9" s="792"/>
      <c r="I9" s="792"/>
      <c r="J9" s="792"/>
      <c r="K9" s="792"/>
      <c r="L9" s="792"/>
      <c r="M9" s="792"/>
      <c r="N9" s="792"/>
      <c r="O9" s="792"/>
      <c r="P9" s="792"/>
      <c r="Q9" s="792"/>
      <c r="R9" s="792"/>
      <c r="S9" s="792"/>
      <c r="T9" s="792"/>
      <c r="U9" s="792"/>
      <c r="V9" s="792"/>
      <c r="W9" s="792"/>
      <c r="X9" s="793"/>
      <c r="AB9" s="806"/>
      <c r="AC9" s="806"/>
      <c r="AD9" s="801" t="s">
        <v>129</v>
      </c>
      <c r="AE9" s="801"/>
      <c r="AF9" s="801"/>
      <c r="AG9" s="801"/>
      <c r="AH9" s="801"/>
      <c r="AI9" s="673">
        <v>6361</v>
      </c>
      <c r="AJ9" s="673"/>
      <c r="AK9" s="673"/>
      <c r="AL9" s="673">
        <v>701</v>
      </c>
      <c r="AM9" s="673"/>
      <c r="AN9" s="673"/>
      <c r="AO9" s="673"/>
      <c r="AP9" s="674">
        <f t="shared" si="0"/>
        <v>0.11020279830215375</v>
      </c>
      <c r="AQ9" s="674"/>
      <c r="AR9" s="668"/>
    </row>
    <row r="10" spans="2:44" ht="15" customHeight="1">
      <c r="B10" s="802" t="s">
        <v>4</v>
      </c>
      <c r="C10" s="803"/>
      <c r="D10" s="803"/>
      <c r="E10" s="803"/>
      <c r="F10" s="803"/>
      <c r="G10" s="803"/>
      <c r="H10" s="803"/>
      <c r="I10" s="803"/>
      <c r="J10" s="803"/>
      <c r="K10" s="803"/>
      <c r="L10" s="803"/>
      <c r="M10" s="803"/>
      <c r="N10" s="803"/>
      <c r="O10" s="803"/>
      <c r="P10" s="803"/>
      <c r="Q10" s="803"/>
      <c r="R10" s="803"/>
      <c r="S10" s="803"/>
      <c r="T10" s="803"/>
      <c r="U10" s="803"/>
      <c r="V10" s="803"/>
      <c r="W10" s="803"/>
      <c r="X10" s="803"/>
      <c r="AB10" s="806"/>
      <c r="AC10" s="806"/>
      <c r="AD10" s="801" t="s">
        <v>130</v>
      </c>
      <c r="AE10" s="801"/>
      <c r="AF10" s="801"/>
      <c r="AG10" s="801"/>
      <c r="AH10" s="801"/>
      <c r="AI10" s="673">
        <v>6361</v>
      </c>
      <c r="AJ10" s="673"/>
      <c r="AK10" s="673"/>
      <c r="AL10" s="673">
        <v>1086</v>
      </c>
      <c r="AM10" s="673"/>
      <c r="AN10" s="673"/>
      <c r="AO10" s="673"/>
      <c r="AP10" s="674">
        <f t="shared" si="0"/>
        <v>0.17072787297594719</v>
      </c>
      <c r="AQ10" s="674"/>
      <c r="AR10" s="668"/>
    </row>
    <row r="11" spans="2:44" ht="38.25" customHeight="1">
      <c r="B11" s="823" t="s">
        <v>173</v>
      </c>
      <c r="C11" s="823"/>
      <c r="D11" s="823"/>
      <c r="E11" s="823"/>
      <c r="F11" s="823"/>
      <c r="G11" s="823"/>
      <c r="H11" s="823"/>
      <c r="I11" s="823"/>
      <c r="J11" s="823"/>
      <c r="K11" s="823"/>
      <c r="L11" s="823"/>
      <c r="M11" s="823"/>
      <c r="N11" s="823"/>
      <c r="O11" s="823"/>
      <c r="P11" s="823"/>
      <c r="Q11" s="823"/>
      <c r="R11" s="823"/>
      <c r="S11" s="823"/>
      <c r="T11" s="823"/>
      <c r="U11" s="823"/>
      <c r="V11" s="823"/>
      <c r="W11" s="823"/>
      <c r="X11" s="823"/>
      <c r="AB11" s="805">
        <v>2020</v>
      </c>
      <c r="AC11" s="805"/>
      <c r="AD11" s="797" t="s">
        <v>131</v>
      </c>
      <c r="AE11" s="797"/>
      <c r="AF11" s="797"/>
      <c r="AG11" s="797"/>
      <c r="AH11" s="797"/>
      <c r="AI11" s="672">
        <v>6316</v>
      </c>
      <c r="AJ11" s="672"/>
      <c r="AK11" s="672"/>
      <c r="AL11" s="672">
        <v>820</v>
      </c>
      <c r="AM11" s="672"/>
      <c r="AN11" s="672"/>
      <c r="AO11" s="672"/>
      <c r="AP11" s="671">
        <f>AL11/AI11</f>
        <v>0.12982900569981001</v>
      </c>
      <c r="AQ11" s="671"/>
      <c r="AR11" s="669">
        <f>SUM(AP11:AQ14)/4</f>
        <v>0.14392020265991134</v>
      </c>
    </row>
    <row r="12" spans="2:44" ht="12.75">
      <c r="B12" s="810" t="s">
        <v>56</v>
      </c>
      <c r="C12" s="814"/>
      <c r="D12" s="814"/>
      <c r="E12" s="814"/>
      <c r="F12" s="811"/>
      <c r="G12" s="810" t="s">
        <v>48</v>
      </c>
      <c r="H12" s="814"/>
      <c r="I12" s="814"/>
      <c r="J12" s="811"/>
      <c r="K12" s="810" t="s">
        <v>5</v>
      </c>
      <c r="L12" s="814"/>
      <c r="M12" s="814"/>
      <c r="N12" s="811"/>
      <c r="O12" s="802" t="s">
        <v>6</v>
      </c>
      <c r="P12" s="803"/>
      <c r="Q12" s="803"/>
      <c r="R12" s="803"/>
      <c r="S12" s="803"/>
      <c r="T12" s="803"/>
      <c r="U12" s="803"/>
      <c r="V12" s="803"/>
      <c r="W12" s="803"/>
      <c r="X12" s="804"/>
      <c r="Y12" s="97"/>
      <c r="Z12" s="98"/>
      <c r="AA12" s="98"/>
      <c r="AB12" s="805"/>
      <c r="AC12" s="805"/>
      <c r="AD12" s="797" t="s">
        <v>132</v>
      </c>
      <c r="AE12" s="797"/>
      <c r="AF12" s="797"/>
      <c r="AG12" s="797"/>
      <c r="AH12" s="797"/>
      <c r="AI12" s="672">
        <v>6316</v>
      </c>
      <c r="AJ12" s="672"/>
      <c r="AK12" s="672"/>
      <c r="AL12" s="672">
        <v>780</v>
      </c>
      <c r="AM12" s="672"/>
      <c r="AN12" s="672"/>
      <c r="AO12" s="672"/>
      <c r="AP12" s="671">
        <f t="shared" ref="AP12:AP22" si="1">AL12/AI12</f>
        <v>0.12349588347055099</v>
      </c>
      <c r="AQ12" s="671"/>
      <c r="AR12" s="669"/>
    </row>
    <row r="13" spans="2:44" ht="25.5" customHeight="1">
      <c r="B13" s="812"/>
      <c r="C13" s="815"/>
      <c r="D13" s="815"/>
      <c r="E13" s="815"/>
      <c r="F13" s="813"/>
      <c r="G13" s="812"/>
      <c r="H13" s="815"/>
      <c r="I13" s="815"/>
      <c r="J13" s="813"/>
      <c r="K13" s="812"/>
      <c r="L13" s="815"/>
      <c r="M13" s="815"/>
      <c r="N13" s="813"/>
      <c r="O13" s="802" t="s">
        <v>55</v>
      </c>
      <c r="P13" s="803"/>
      <c r="Q13" s="803"/>
      <c r="R13" s="804"/>
      <c r="S13" s="802" t="s">
        <v>54</v>
      </c>
      <c r="T13" s="803"/>
      <c r="U13" s="804"/>
      <c r="V13" s="802" t="s">
        <v>53</v>
      </c>
      <c r="W13" s="803"/>
      <c r="X13" s="804"/>
      <c r="Y13" s="97"/>
      <c r="Z13" s="98"/>
      <c r="AA13" s="98"/>
      <c r="AB13" s="805"/>
      <c r="AC13" s="805"/>
      <c r="AD13" s="797" t="s">
        <v>133</v>
      </c>
      <c r="AE13" s="797"/>
      <c r="AF13" s="797"/>
      <c r="AG13" s="797"/>
      <c r="AH13" s="797"/>
      <c r="AI13" s="672">
        <v>6316</v>
      </c>
      <c r="AJ13" s="672"/>
      <c r="AK13" s="672"/>
      <c r="AL13" s="672">
        <v>840</v>
      </c>
      <c r="AM13" s="672"/>
      <c r="AN13" s="672"/>
      <c r="AO13" s="672"/>
      <c r="AP13" s="671">
        <f t="shared" si="1"/>
        <v>0.13299556681443953</v>
      </c>
      <c r="AQ13" s="671"/>
      <c r="AR13" s="669"/>
    </row>
    <row r="14" spans="2:44" ht="29.25" customHeight="1">
      <c r="B14" s="818" t="s">
        <v>358</v>
      </c>
      <c r="C14" s="818"/>
      <c r="D14" s="818"/>
      <c r="E14" s="818"/>
      <c r="F14" s="818"/>
      <c r="G14" s="711" t="s">
        <v>104</v>
      </c>
      <c r="H14" s="711"/>
      <c r="I14" s="711"/>
      <c r="J14" s="711"/>
      <c r="K14" s="711">
        <v>62.58</v>
      </c>
      <c r="L14" s="711"/>
      <c r="M14" s="711"/>
      <c r="N14" s="711"/>
      <c r="O14" s="820">
        <v>0.2</v>
      </c>
      <c r="P14" s="821"/>
      <c r="Q14" s="821"/>
      <c r="R14" s="822"/>
      <c r="S14" s="591">
        <v>44561</v>
      </c>
      <c r="T14" s="592"/>
      <c r="U14" s="593"/>
      <c r="V14" s="594">
        <v>2021</v>
      </c>
      <c r="W14" s="594"/>
      <c r="X14" s="594"/>
      <c r="AB14" s="805"/>
      <c r="AC14" s="805"/>
      <c r="AD14" s="797" t="s">
        <v>134</v>
      </c>
      <c r="AE14" s="797"/>
      <c r="AF14" s="797"/>
      <c r="AG14" s="797"/>
      <c r="AH14" s="797"/>
      <c r="AI14" s="672">
        <v>6316</v>
      </c>
      <c r="AJ14" s="672"/>
      <c r="AK14" s="672"/>
      <c r="AL14" s="672">
        <v>1196</v>
      </c>
      <c r="AM14" s="672"/>
      <c r="AN14" s="672"/>
      <c r="AO14" s="672"/>
      <c r="AP14" s="671">
        <f t="shared" si="1"/>
        <v>0.18936035465484483</v>
      </c>
      <c r="AQ14" s="671"/>
      <c r="AR14" s="669"/>
    </row>
    <row r="15" spans="2:44" ht="18" customHeight="1">
      <c r="B15" s="791" t="s">
        <v>7</v>
      </c>
      <c r="C15" s="792"/>
      <c r="D15" s="792"/>
      <c r="E15" s="792"/>
      <c r="F15" s="792"/>
      <c r="G15" s="792"/>
      <c r="H15" s="792"/>
      <c r="I15" s="792"/>
      <c r="J15" s="792"/>
      <c r="K15" s="792"/>
      <c r="L15" s="792"/>
      <c r="M15" s="792"/>
      <c r="N15" s="792"/>
      <c r="O15" s="792"/>
      <c r="P15" s="792"/>
      <c r="Q15" s="792"/>
      <c r="R15" s="792"/>
      <c r="S15" s="792"/>
      <c r="T15" s="792"/>
      <c r="U15" s="792"/>
      <c r="V15" s="792"/>
      <c r="W15" s="792"/>
      <c r="X15" s="793"/>
      <c r="Z15" s="95" t="s">
        <v>51</v>
      </c>
      <c r="AB15" s="806">
        <v>2021</v>
      </c>
      <c r="AC15" s="806"/>
      <c r="AD15" s="801" t="s">
        <v>135</v>
      </c>
      <c r="AE15" s="801"/>
      <c r="AF15" s="801"/>
      <c r="AG15" s="801"/>
      <c r="AH15" s="801"/>
      <c r="AI15" s="673">
        <v>6258</v>
      </c>
      <c r="AJ15" s="673"/>
      <c r="AK15" s="673"/>
      <c r="AL15" s="673">
        <v>836</v>
      </c>
      <c r="AM15" s="673"/>
      <c r="AN15" s="673"/>
      <c r="AO15" s="673"/>
      <c r="AP15" s="674">
        <f>AL15/AI15</f>
        <v>0.13358900607222754</v>
      </c>
      <c r="AQ15" s="674"/>
      <c r="AR15" s="668">
        <f t="shared" ref="AR15" si="2">SUM(AP15:AQ18)/4</f>
        <v>0.15131556235958443</v>
      </c>
    </row>
    <row r="16" spans="2:44" ht="12.75" customHeight="1">
      <c r="B16" s="808" t="s">
        <v>52</v>
      </c>
      <c r="C16" s="810" t="s">
        <v>8</v>
      </c>
      <c r="D16" s="811"/>
      <c r="E16" s="810" t="s">
        <v>115</v>
      </c>
      <c r="F16" s="811"/>
      <c r="G16" s="810" t="s">
        <v>109</v>
      </c>
      <c r="H16" s="814"/>
      <c r="I16" s="814"/>
      <c r="J16" s="814"/>
      <c r="K16" s="814"/>
      <c r="L16" s="811"/>
      <c r="M16" s="816" t="s">
        <v>116</v>
      </c>
      <c r="N16" s="816"/>
      <c r="O16" s="816"/>
      <c r="P16" s="816"/>
      <c r="Q16" s="816"/>
      <c r="R16" s="816"/>
      <c r="S16" s="816"/>
      <c r="T16" s="816"/>
      <c r="U16" s="816"/>
      <c r="V16" s="816"/>
      <c r="W16" s="816"/>
      <c r="X16" s="816"/>
      <c r="AB16" s="806"/>
      <c r="AC16" s="806"/>
      <c r="AD16" s="801" t="s">
        <v>136</v>
      </c>
      <c r="AE16" s="801"/>
      <c r="AF16" s="801"/>
      <c r="AG16" s="801"/>
      <c r="AH16" s="801"/>
      <c r="AI16" s="673">
        <v>6258</v>
      </c>
      <c r="AJ16" s="673"/>
      <c r="AK16" s="673"/>
      <c r="AL16" s="673">
        <v>916</v>
      </c>
      <c r="AM16" s="673"/>
      <c r="AN16" s="673"/>
      <c r="AO16" s="673"/>
      <c r="AP16" s="674">
        <f t="shared" si="1"/>
        <v>0.14637264301693831</v>
      </c>
      <c r="AQ16" s="674"/>
      <c r="AR16" s="668"/>
    </row>
    <row r="17" spans="2:44" ht="12.75" customHeight="1">
      <c r="B17" s="809"/>
      <c r="C17" s="812"/>
      <c r="D17" s="813"/>
      <c r="E17" s="812"/>
      <c r="F17" s="813"/>
      <c r="G17" s="812"/>
      <c r="H17" s="815"/>
      <c r="I17" s="815"/>
      <c r="J17" s="815"/>
      <c r="K17" s="815"/>
      <c r="L17" s="813"/>
      <c r="M17" s="802" t="s">
        <v>121</v>
      </c>
      <c r="N17" s="803"/>
      <c r="O17" s="803"/>
      <c r="P17" s="803"/>
      <c r="Q17" s="804"/>
      <c r="R17" s="802" t="s">
        <v>122</v>
      </c>
      <c r="S17" s="803"/>
      <c r="T17" s="803"/>
      <c r="U17" s="803"/>
      <c r="V17" s="817" t="s">
        <v>117</v>
      </c>
      <c r="W17" s="817"/>
      <c r="X17" s="817"/>
      <c r="AB17" s="806"/>
      <c r="AC17" s="806"/>
      <c r="AD17" s="801" t="s">
        <v>137</v>
      </c>
      <c r="AE17" s="801"/>
      <c r="AF17" s="801"/>
      <c r="AG17" s="801"/>
      <c r="AH17" s="801"/>
      <c r="AI17" s="673">
        <v>6258</v>
      </c>
      <c r="AJ17" s="673"/>
      <c r="AK17" s="673"/>
      <c r="AL17" s="673">
        <v>832</v>
      </c>
      <c r="AM17" s="673"/>
      <c r="AN17" s="673"/>
      <c r="AO17" s="673"/>
      <c r="AP17" s="674">
        <f t="shared" si="1"/>
        <v>0.13294982422499202</v>
      </c>
      <c r="AQ17" s="674"/>
      <c r="AR17" s="668"/>
    </row>
    <row r="18" spans="2:44" ht="28.5" customHeight="1">
      <c r="B18" s="128" t="s">
        <v>359</v>
      </c>
      <c r="C18" s="780" t="s">
        <v>112</v>
      </c>
      <c r="D18" s="593"/>
      <c r="E18" s="711">
        <v>0.15</v>
      </c>
      <c r="F18" s="711"/>
      <c r="G18" s="818" t="s">
        <v>360</v>
      </c>
      <c r="H18" s="818"/>
      <c r="I18" s="818"/>
      <c r="J18" s="818"/>
      <c r="K18" s="818"/>
      <c r="L18" s="818"/>
      <c r="M18" s="798" t="s">
        <v>123</v>
      </c>
      <c r="N18" s="798"/>
      <c r="O18" s="798"/>
      <c r="P18" s="798"/>
      <c r="Q18" s="798"/>
      <c r="R18" s="799" t="s">
        <v>124</v>
      </c>
      <c r="S18" s="799"/>
      <c r="T18" s="799"/>
      <c r="U18" s="799"/>
      <c r="V18" s="800" t="s">
        <v>125</v>
      </c>
      <c r="W18" s="800"/>
      <c r="X18" s="800"/>
      <c r="AB18" s="806"/>
      <c r="AC18" s="806"/>
      <c r="AD18" s="801" t="s">
        <v>138</v>
      </c>
      <c r="AE18" s="801"/>
      <c r="AF18" s="801"/>
      <c r="AG18" s="801"/>
      <c r="AH18" s="801"/>
      <c r="AI18" s="673">
        <v>6249</v>
      </c>
      <c r="AJ18" s="673"/>
      <c r="AK18" s="673"/>
      <c r="AL18" s="673">
        <v>1202</v>
      </c>
      <c r="AM18" s="673"/>
      <c r="AN18" s="673"/>
      <c r="AO18" s="673"/>
      <c r="AP18" s="674">
        <f t="shared" si="1"/>
        <v>0.19235077612417986</v>
      </c>
      <c r="AQ18" s="674"/>
      <c r="AR18" s="668"/>
    </row>
    <row r="19" spans="2:44" ht="25.15" customHeight="1">
      <c r="B19" s="802" t="s">
        <v>9</v>
      </c>
      <c r="C19" s="803"/>
      <c r="D19" s="803"/>
      <c r="E19" s="803"/>
      <c r="F19" s="803"/>
      <c r="G19" s="803"/>
      <c r="H19" s="803"/>
      <c r="I19" s="803"/>
      <c r="J19" s="803"/>
      <c r="K19" s="803"/>
      <c r="L19" s="804"/>
      <c r="M19" s="802" t="s">
        <v>10</v>
      </c>
      <c r="N19" s="803"/>
      <c r="O19" s="803"/>
      <c r="P19" s="803"/>
      <c r="Q19" s="803"/>
      <c r="R19" s="803"/>
      <c r="S19" s="803"/>
      <c r="T19" s="803"/>
      <c r="U19" s="803"/>
      <c r="V19" s="803"/>
      <c r="W19" s="803"/>
      <c r="X19" s="804"/>
      <c r="AB19" s="805">
        <v>2022</v>
      </c>
      <c r="AC19" s="805"/>
      <c r="AD19" s="797" t="s">
        <v>139</v>
      </c>
      <c r="AE19" s="797"/>
      <c r="AF19" s="797"/>
      <c r="AG19" s="797"/>
      <c r="AH19" s="797"/>
      <c r="AI19" s="672">
        <v>6211</v>
      </c>
      <c r="AJ19" s="672"/>
      <c r="AK19" s="672"/>
      <c r="AL19" s="672">
        <v>931</v>
      </c>
      <c r="AM19" s="672"/>
      <c r="AN19" s="672"/>
      <c r="AO19" s="672"/>
      <c r="AP19" s="671">
        <f t="shared" si="1"/>
        <v>0.14989534696506199</v>
      </c>
      <c r="AQ19" s="671"/>
      <c r="AR19" s="669" t="e">
        <f t="shared" ref="AR19" si="3">SUM(AP19:AQ22)/4</f>
        <v>#DIV/0!</v>
      </c>
    </row>
    <row r="20" spans="2:44" ht="45.4" customHeight="1">
      <c r="B20" s="780" t="s">
        <v>361</v>
      </c>
      <c r="C20" s="592"/>
      <c r="D20" s="592"/>
      <c r="E20" s="592"/>
      <c r="F20" s="592"/>
      <c r="G20" s="592"/>
      <c r="H20" s="592"/>
      <c r="I20" s="592"/>
      <c r="J20" s="592"/>
      <c r="K20" s="592"/>
      <c r="L20" s="593"/>
      <c r="M20" s="780"/>
      <c r="N20" s="592"/>
      <c r="O20" s="592"/>
      <c r="P20" s="592"/>
      <c r="Q20" s="592"/>
      <c r="R20" s="592"/>
      <c r="S20" s="592"/>
      <c r="T20" s="592"/>
      <c r="U20" s="592"/>
      <c r="V20" s="592"/>
      <c r="W20" s="592"/>
      <c r="X20" s="593"/>
      <c r="AA20" s="98"/>
      <c r="AB20" s="805"/>
      <c r="AC20" s="805"/>
      <c r="AD20" s="797" t="s">
        <v>140</v>
      </c>
      <c r="AE20" s="797"/>
      <c r="AF20" s="797"/>
      <c r="AG20" s="797"/>
      <c r="AH20" s="797"/>
      <c r="AI20" s="672">
        <v>6211</v>
      </c>
      <c r="AJ20" s="672"/>
      <c r="AK20" s="672"/>
      <c r="AL20" s="672">
        <v>928</v>
      </c>
      <c r="AM20" s="672"/>
      <c r="AN20" s="672"/>
      <c r="AO20" s="672"/>
      <c r="AP20" s="671">
        <f t="shared" si="1"/>
        <v>0.14941233295765577</v>
      </c>
      <c r="AQ20" s="671"/>
      <c r="AR20" s="669"/>
    </row>
    <row r="21" spans="2:44" ht="18.95" customHeight="1">
      <c r="B21" s="791" t="s">
        <v>11</v>
      </c>
      <c r="C21" s="792"/>
      <c r="D21" s="792"/>
      <c r="E21" s="792"/>
      <c r="F21" s="792"/>
      <c r="G21" s="792"/>
      <c r="H21" s="792"/>
      <c r="I21" s="792"/>
      <c r="J21" s="792"/>
      <c r="K21" s="792"/>
      <c r="L21" s="792"/>
      <c r="M21" s="792"/>
      <c r="N21" s="792"/>
      <c r="O21" s="792"/>
      <c r="P21" s="792"/>
      <c r="Q21" s="792"/>
      <c r="R21" s="792"/>
      <c r="S21" s="792"/>
      <c r="T21" s="792"/>
      <c r="U21" s="792"/>
      <c r="V21" s="792"/>
      <c r="W21" s="792"/>
      <c r="X21" s="793"/>
      <c r="AB21" s="805"/>
      <c r="AC21" s="805"/>
      <c r="AD21" s="797" t="s">
        <v>141</v>
      </c>
      <c r="AE21" s="797"/>
      <c r="AF21" s="797"/>
      <c r="AG21" s="797"/>
      <c r="AH21" s="797"/>
      <c r="AI21" s="672"/>
      <c r="AJ21" s="672"/>
      <c r="AK21" s="672"/>
      <c r="AL21" s="672"/>
      <c r="AM21" s="672"/>
      <c r="AN21" s="672"/>
      <c r="AO21" s="672"/>
      <c r="AP21" s="671" t="e">
        <f t="shared" si="1"/>
        <v>#DIV/0!</v>
      </c>
      <c r="AQ21" s="671"/>
      <c r="AR21" s="669"/>
    </row>
    <row r="22" spans="2:44" ht="18.95" customHeight="1">
      <c r="B22" s="790" t="s">
        <v>12</v>
      </c>
      <c r="C22" s="790"/>
      <c r="D22" s="131" t="s">
        <v>13</v>
      </c>
      <c r="E22" s="131" t="s">
        <v>14</v>
      </c>
      <c r="F22" s="131" t="s">
        <v>15</v>
      </c>
      <c r="G22" s="796" t="s">
        <v>16</v>
      </c>
      <c r="H22" s="796"/>
      <c r="I22" s="796"/>
      <c r="J22" s="131" t="s">
        <v>17</v>
      </c>
      <c r="K22" s="796" t="s">
        <v>18</v>
      </c>
      <c r="L22" s="796"/>
      <c r="M22" s="796"/>
      <c r="N22" s="131" t="s">
        <v>19</v>
      </c>
      <c r="O22" s="796" t="s">
        <v>20</v>
      </c>
      <c r="P22" s="796"/>
      <c r="Q22" s="796" t="s">
        <v>21</v>
      </c>
      <c r="R22" s="796"/>
      <c r="S22" s="796"/>
      <c r="T22" s="796" t="s">
        <v>22</v>
      </c>
      <c r="U22" s="796"/>
      <c r="V22" s="796" t="s">
        <v>23</v>
      </c>
      <c r="W22" s="796"/>
      <c r="X22" s="131" t="s">
        <v>24</v>
      </c>
      <c r="AB22" s="805"/>
      <c r="AC22" s="805"/>
      <c r="AD22" s="797" t="s">
        <v>142</v>
      </c>
      <c r="AE22" s="797"/>
      <c r="AF22" s="797"/>
      <c r="AG22" s="797"/>
      <c r="AH22" s="797"/>
      <c r="AI22" s="672"/>
      <c r="AJ22" s="672"/>
      <c r="AK22" s="672"/>
      <c r="AL22" s="672"/>
      <c r="AM22" s="672"/>
      <c r="AN22" s="672"/>
      <c r="AO22" s="672"/>
      <c r="AP22" s="671" t="e">
        <f t="shared" si="1"/>
        <v>#DIV/0!</v>
      </c>
      <c r="AQ22" s="671"/>
      <c r="AR22" s="669"/>
    </row>
    <row r="23" spans="2:44" ht="18.95" customHeight="1">
      <c r="B23" s="790" t="s">
        <v>25</v>
      </c>
      <c r="C23" s="790"/>
      <c r="D23" s="682">
        <f>AL15</f>
        <v>836</v>
      </c>
      <c r="E23" s="592"/>
      <c r="F23" s="593"/>
      <c r="G23" s="682">
        <f>AL16</f>
        <v>916</v>
      </c>
      <c r="H23" s="715"/>
      <c r="I23" s="715"/>
      <c r="J23" s="715"/>
      <c r="K23" s="715"/>
      <c r="L23" s="715"/>
      <c r="M23" s="716"/>
      <c r="N23" s="682">
        <f>AL17</f>
        <v>832</v>
      </c>
      <c r="O23" s="592"/>
      <c r="P23" s="592"/>
      <c r="Q23" s="592"/>
      <c r="R23" s="592"/>
      <c r="S23" s="593"/>
      <c r="T23" s="682">
        <f>AL18</f>
        <v>1202</v>
      </c>
      <c r="U23" s="592"/>
      <c r="V23" s="592"/>
      <c r="W23" s="592"/>
      <c r="X23" s="593"/>
      <c r="Z23" s="52"/>
      <c r="AA23" s="52"/>
    </row>
    <row r="24" spans="2:44" ht="18.95" customHeight="1">
      <c r="B24" s="790" t="s">
        <v>26</v>
      </c>
      <c r="C24" s="790"/>
      <c r="D24" s="682">
        <f>AI15</f>
        <v>6258</v>
      </c>
      <c r="E24" s="592"/>
      <c r="F24" s="593"/>
      <c r="G24" s="682">
        <f>AI16</f>
        <v>6258</v>
      </c>
      <c r="H24" s="592"/>
      <c r="I24" s="592"/>
      <c r="J24" s="592"/>
      <c r="K24" s="592"/>
      <c r="L24" s="592"/>
      <c r="M24" s="593"/>
      <c r="N24" s="682">
        <f>AI17</f>
        <v>6258</v>
      </c>
      <c r="O24" s="592"/>
      <c r="P24" s="592"/>
      <c r="Q24" s="592"/>
      <c r="R24" s="592"/>
      <c r="S24" s="593"/>
      <c r="T24" s="682">
        <f>AI18</f>
        <v>6249</v>
      </c>
      <c r="U24" s="592"/>
      <c r="V24" s="592"/>
      <c r="W24" s="592"/>
      <c r="X24" s="593"/>
      <c r="Y24" s="97"/>
    </row>
    <row r="25" spans="2:44" ht="19.7" customHeight="1">
      <c r="B25" s="791" t="s">
        <v>47</v>
      </c>
      <c r="C25" s="792"/>
      <c r="D25" s="792"/>
      <c r="E25" s="792"/>
      <c r="F25" s="792"/>
      <c r="G25" s="792"/>
      <c r="H25" s="792"/>
      <c r="I25" s="792"/>
      <c r="J25" s="792"/>
      <c r="K25" s="792"/>
      <c r="L25" s="792"/>
      <c r="M25" s="792"/>
      <c r="N25" s="792"/>
      <c r="O25" s="792"/>
      <c r="P25" s="792"/>
      <c r="Q25" s="792"/>
      <c r="R25" s="792"/>
      <c r="S25" s="792"/>
      <c r="T25" s="792"/>
      <c r="U25" s="792"/>
      <c r="V25" s="792"/>
      <c r="W25" s="792"/>
      <c r="X25" s="793"/>
    </row>
    <row r="26" spans="2:44" ht="25.5">
      <c r="B26" s="131" t="s">
        <v>27</v>
      </c>
      <c r="C26" s="131" t="s">
        <v>28</v>
      </c>
      <c r="D26" s="131" t="s">
        <v>29</v>
      </c>
      <c r="E26" s="131" t="s">
        <v>30</v>
      </c>
      <c r="F26" s="125"/>
      <c r="G26" s="125"/>
      <c r="H26" s="767"/>
      <c r="I26" s="767"/>
      <c r="J26" s="767"/>
      <c r="K26" s="767"/>
      <c r="L26" s="767"/>
      <c r="M26" s="767"/>
      <c r="N26" s="767"/>
      <c r="O26" s="767"/>
      <c r="P26" s="767"/>
      <c r="Q26" s="767"/>
      <c r="R26" s="767"/>
      <c r="S26" s="795"/>
      <c r="T26" s="795"/>
      <c r="U26" s="795"/>
      <c r="V26" s="795"/>
      <c r="W26" s="795"/>
      <c r="X26" s="768"/>
    </row>
    <row r="27" spans="2:44" ht="17.649999999999999" customHeight="1">
      <c r="B27" s="132" t="s">
        <v>31</v>
      </c>
      <c r="C27" s="686">
        <f>IF(ISERROR($D$23/$D$24),0,$D$23/$D$24)</f>
        <v>0.13358900607222754</v>
      </c>
      <c r="D27" s="686">
        <f>$E$18</f>
        <v>0.15</v>
      </c>
      <c r="E27" s="122">
        <f>$O$14</f>
        <v>0.2</v>
      </c>
      <c r="H27" s="794"/>
      <c r="I27" s="794"/>
      <c r="J27" s="761"/>
      <c r="K27" s="761"/>
      <c r="L27" s="104"/>
      <c r="M27" s="104"/>
      <c r="N27" s="794"/>
      <c r="O27" s="794"/>
      <c r="P27" s="794"/>
      <c r="Q27" s="794"/>
      <c r="R27" s="794"/>
      <c r="S27" s="786"/>
      <c r="T27" s="786"/>
      <c r="U27" s="786"/>
      <c r="V27" s="786"/>
      <c r="W27" s="786"/>
      <c r="X27" s="787"/>
    </row>
    <row r="28" spans="2:44" ht="17.649999999999999" customHeight="1">
      <c r="B28" s="132" t="s">
        <v>32</v>
      </c>
      <c r="C28" s="687"/>
      <c r="D28" s="687"/>
      <c r="E28" s="122">
        <f t="shared" ref="E28:E37" si="4">$O$14</f>
        <v>0.2</v>
      </c>
      <c r="H28" s="761"/>
      <c r="I28" s="761"/>
      <c r="J28" s="761"/>
      <c r="K28" s="761"/>
      <c r="L28" s="12"/>
      <c r="M28" s="104"/>
      <c r="N28" s="761"/>
      <c r="O28" s="761"/>
      <c r="P28" s="761"/>
      <c r="Q28" s="761"/>
      <c r="R28" s="761"/>
      <c r="S28" s="786"/>
      <c r="T28" s="786"/>
      <c r="U28" s="786"/>
      <c r="V28" s="786"/>
      <c r="W28" s="786"/>
      <c r="X28" s="787"/>
    </row>
    <row r="29" spans="2:44" ht="17.649999999999999" customHeight="1">
      <c r="B29" s="132" t="s">
        <v>33</v>
      </c>
      <c r="C29" s="688"/>
      <c r="D29" s="688"/>
      <c r="E29" s="122">
        <f t="shared" si="4"/>
        <v>0.2</v>
      </c>
      <c r="H29" s="761"/>
      <c r="I29" s="761"/>
      <c r="J29" s="761"/>
      <c r="K29" s="761"/>
      <c r="L29" s="12"/>
      <c r="M29" s="104"/>
      <c r="N29" s="761"/>
      <c r="O29" s="761"/>
      <c r="P29" s="761"/>
      <c r="Q29" s="761"/>
      <c r="R29" s="761"/>
      <c r="S29" s="786"/>
      <c r="T29" s="786"/>
      <c r="U29" s="786"/>
      <c r="V29" s="786"/>
      <c r="W29" s="786"/>
      <c r="X29" s="787"/>
    </row>
    <row r="30" spans="2:44" ht="17.649999999999999" customHeight="1">
      <c r="B30" s="132" t="s">
        <v>34</v>
      </c>
      <c r="C30" s="686">
        <f>IF(ISERROR($G$23/$G$24),0,$G$23/$G$24)</f>
        <v>0.14637264301693831</v>
      </c>
      <c r="D30" s="686">
        <f t="shared" ref="D30:D36" si="5">$E$18</f>
        <v>0.15</v>
      </c>
      <c r="E30" s="122">
        <f t="shared" si="4"/>
        <v>0.2</v>
      </c>
      <c r="H30" s="761"/>
      <c r="I30" s="761"/>
      <c r="J30" s="761"/>
      <c r="K30" s="761"/>
      <c r="L30" s="12"/>
      <c r="M30" s="104"/>
      <c r="N30" s="761"/>
      <c r="O30" s="761"/>
      <c r="P30" s="761"/>
      <c r="Q30" s="761"/>
      <c r="R30" s="761"/>
      <c r="S30" s="786"/>
      <c r="T30" s="786"/>
      <c r="U30" s="786"/>
      <c r="V30" s="786"/>
      <c r="W30" s="786"/>
      <c r="X30" s="787"/>
    </row>
    <row r="31" spans="2:44" ht="17.649999999999999" customHeight="1">
      <c r="B31" s="132" t="s">
        <v>35</v>
      </c>
      <c r="C31" s="687"/>
      <c r="D31" s="687"/>
      <c r="E31" s="122">
        <f t="shared" si="4"/>
        <v>0.2</v>
      </c>
      <c r="H31" s="761"/>
      <c r="I31" s="761"/>
      <c r="J31" s="761"/>
      <c r="K31" s="761"/>
      <c r="L31" s="12"/>
      <c r="M31" s="104"/>
      <c r="N31" s="761"/>
      <c r="O31" s="761"/>
      <c r="P31" s="761"/>
      <c r="Q31" s="761"/>
      <c r="R31" s="761"/>
      <c r="S31" s="786"/>
      <c r="T31" s="786"/>
      <c r="U31" s="786"/>
      <c r="V31" s="786"/>
      <c r="W31" s="786"/>
      <c r="X31" s="787"/>
    </row>
    <row r="32" spans="2:44" ht="17.649999999999999" customHeight="1">
      <c r="B32" s="132" t="s">
        <v>36</v>
      </c>
      <c r="C32" s="688"/>
      <c r="D32" s="688"/>
      <c r="E32" s="122">
        <f t="shared" si="4"/>
        <v>0.2</v>
      </c>
      <c r="H32" s="761"/>
      <c r="I32" s="761"/>
      <c r="J32" s="761"/>
      <c r="K32" s="761"/>
      <c r="L32" s="12"/>
      <c r="M32" s="104"/>
      <c r="N32" s="761"/>
      <c r="O32" s="761"/>
      <c r="P32" s="761"/>
      <c r="Q32" s="761"/>
      <c r="R32" s="761"/>
      <c r="S32" s="786"/>
      <c r="T32" s="786"/>
      <c r="U32" s="786"/>
      <c r="V32" s="786"/>
      <c r="W32" s="786"/>
      <c r="X32" s="787"/>
    </row>
    <row r="33" spans="2:27" ht="17.649999999999999" customHeight="1">
      <c r="B33" s="132" t="s">
        <v>37</v>
      </c>
      <c r="C33" s="686">
        <f>IF(ISERROR($N$23/$N$24),0,$N$23/$N$24)</f>
        <v>0.13294982422499202</v>
      </c>
      <c r="D33" s="686">
        <f t="shared" si="5"/>
        <v>0.15</v>
      </c>
      <c r="E33" s="122">
        <f t="shared" si="4"/>
        <v>0.2</v>
      </c>
      <c r="H33" s="761"/>
      <c r="I33" s="761"/>
      <c r="J33" s="761"/>
      <c r="K33" s="761"/>
      <c r="L33" s="12"/>
      <c r="M33" s="104"/>
      <c r="N33" s="761"/>
      <c r="O33" s="761"/>
      <c r="P33" s="761"/>
      <c r="Q33" s="761"/>
      <c r="R33" s="761"/>
      <c r="S33" s="786"/>
      <c r="T33" s="786"/>
      <c r="U33" s="786"/>
      <c r="V33" s="786"/>
      <c r="W33" s="786"/>
      <c r="X33" s="787"/>
    </row>
    <row r="34" spans="2:27" ht="17.649999999999999" customHeight="1">
      <c r="B34" s="132" t="s">
        <v>38</v>
      </c>
      <c r="C34" s="687"/>
      <c r="D34" s="687"/>
      <c r="E34" s="122">
        <f t="shared" si="4"/>
        <v>0.2</v>
      </c>
      <c r="H34" s="761"/>
      <c r="I34" s="761"/>
      <c r="J34" s="761"/>
      <c r="K34" s="761"/>
      <c r="L34" s="12"/>
      <c r="M34" s="104"/>
      <c r="N34" s="761"/>
      <c r="O34" s="761"/>
      <c r="P34" s="761"/>
      <c r="Q34" s="761"/>
      <c r="R34" s="761"/>
      <c r="S34" s="786"/>
      <c r="T34" s="786"/>
      <c r="U34" s="786"/>
      <c r="V34" s="786"/>
      <c r="W34" s="786"/>
      <c r="X34" s="787"/>
    </row>
    <row r="35" spans="2:27" ht="17.649999999999999" customHeight="1">
      <c r="B35" s="132" t="s">
        <v>39</v>
      </c>
      <c r="C35" s="688"/>
      <c r="D35" s="688"/>
      <c r="E35" s="122">
        <f t="shared" si="4"/>
        <v>0.2</v>
      </c>
      <c r="H35" s="761"/>
      <c r="I35" s="761"/>
      <c r="J35" s="761"/>
      <c r="K35" s="761"/>
      <c r="L35" s="12"/>
      <c r="M35" s="104"/>
      <c r="N35" s="761"/>
      <c r="O35" s="761"/>
      <c r="P35" s="761"/>
      <c r="Q35" s="761"/>
      <c r="R35" s="761"/>
      <c r="S35" s="786"/>
      <c r="T35" s="786"/>
      <c r="U35" s="786"/>
      <c r="V35" s="786"/>
      <c r="W35" s="786"/>
      <c r="X35" s="787"/>
    </row>
    <row r="36" spans="2:27" ht="17.649999999999999" customHeight="1">
      <c r="B36" s="132" t="s">
        <v>40</v>
      </c>
      <c r="C36" s="686">
        <f>IF(ISERROR($T$23/$T$24),0,$T$23/$T$24)</f>
        <v>0.19235077612417986</v>
      </c>
      <c r="D36" s="686">
        <f t="shared" si="5"/>
        <v>0.15</v>
      </c>
      <c r="E36" s="122">
        <f t="shared" si="4"/>
        <v>0.2</v>
      </c>
      <c r="H36" s="761"/>
      <c r="I36" s="761"/>
      <c r="J36" s="761"/>
      <c r="K36" s="761"/>
      <c r="L36" s="12"/>
      <c r="M36" s="104"/>
      <c r="N36" s="761"/>
      <c r="O36" s="761"/>
      <c r="P36" s="761"/>
      <c r="Q36" s="761"/>
      <c r="R36" s="761"/>
      <c r="S36" s="786"/>
      <c r="T36" s="786"/>
      <c r="U36" s="786"/>
      <c r="V36" s="786"/>
      <c r="W36" s="786"/>
      <c r="X36" s="787"/>
    </row>
    <row r="37" spans="2:27" ht="17.649999999999999" customHeight="1">
      <c r="B37" s="132" t="s">
        <v>41</v>
      </c>
      <c r="C37" s="687"/>
      <c r="D37" s="687"/>
      <c r="E37" s="122">
        <f t="shared" si="4"/>
        <v>0.2</v>
      </c>
      <c r="H37" s="761"/>
      <c r="I37" s="761"/>
      <c r="J37" s="761"/>
      <c r="K37" s="761"/>
      <c r="L37" s="12"/>
      <c r="M37" s="104"/>
      <c r="N37" s="761"/>
      <c r="O37" s="761"/>
      <c r="P37" s="761"/>
      <c r="Q37" s="761"/>
      <c r="R37" s="761"/>
      <c r="S37" s="786"/>
      <c r="T37" s="786"/>
      <c r="U37" s="786"/>
      <c r="V37" s="786"/>
      <c r="W37" s="786"/>
      <c r="X37" s="787"/>
    </row>
    <row r="38" spans="2:27" ht="17.649999999999999" customHeight="1">
      <c r="B38" s="132" t="s">
        <v>42</v>
      </c>
      <c r="C38" s="688"/>
      <c r="D38" s="688"/>
      <c r="E38" s="122">
        <v>0</v>
      </c>
      <c r="F38" s="127"/>
      <c r="G38" s="127"/>
      <c r="H38" s="775"/>
      <c r="I38" s="775"/>
      <c r="J38" s="775"/>
      <c r="K38" s="775"/>
      <c r="L38" s="7"/>
      <c r="M38" s="106"/>
      <c r="N38" s="775"/>
      <c r="O38" s="775"/>
      <c r="P38" s="775"/>
      <c r="Q38" s="775"/>
      <c r="R38" s="775"/>
      <c r="S38" s="788"/>
      <c r="T38" s="788"/>
      <c r="U38" s="788"/>
      <c r="V38" s="788"/>
      <c r="W38" s="788"/>
      <c r="X38" s="789"/>
    </row>
    <row r="39" spans="2:27" ht="8.4499999999999993" customHeight="1">
      <c r="B39" s="124"/>
      <c r="C39" s="125"/>
      <c r="D39" s="125"/>
      <c r="E39" s="125"/>
      <c r="F39" s="125"/>
      <c r="G39" s="125"/>
      <c r="H39" s="125"/>
      <c r="I39" s="125"/>
      <c r="J39" s="125"/>
      <c r="K39" s="125"/>
      <c r="L39" s="125"/>
      <c r="M39" s="125"/>
      <c r="N39" s="125"/>
      <c r="O39" s="125"/>
      <c r="P39" s="125"/>
      <c r="Q39" s="125"/>
      <c r="R39" s="125"/>
      <c r="S39" s="125"/>
      <c r="T39" s="125"/>
      <c r="U39" s="125"/>
      <c r="V39" s="125"/>
      <c r="W39" s="125"/>
      <c r="X39" s="126"/>
    </row>
    <row r="40" spans="2:27" ht="15.75" customHeight="1">
      <c r="B40" s="762" t="s">
        <v>50</v>
      </c>
      <c r="C40" s="763"/>
      <c r="D40" s="763"/>
      <c r="E40" s="763"/>
      <c r="F40" s="763"/>
      <c r="G40" s="763"/>
      <c r="H40" s="763"/>
      <c r="I40" s="763"/>
      <c r="J40" s="763"/>
      <c r="K40" s="763"/>
      <c r="L40" s="763"/>
      <c r="M40" s="763"/>
      <c r="N40" s="763"/>
      <c r="O40" s="763"/>
      <c r="P40" s="763"/>
      <c r="Q40" s="763"/>
      <c r="R40" s="763"/>
      <c r="S40" s="763"/>
      <c r="T40" s="763"/>
      <c r="U40" s="763"/>
      <c r="V40" s="763"/>
      <c r="W40" s="763"/>
      <c r="X40" s="764"/>
    </row>
    <row r="41" spans="2:27" ht="33" customHeight="1">
      <c r="B41" s="765"/>
      <c r="C41" s="765"/>
      <c r="D41" s="765"/>
      <c r="E41" s="765"/>
      <c r="F41" s="765"/>
      <c r="G41" s="765"/>
      <c r="H41" s="765"/>
      <c r="I41" s="765"/>
      <c r="J41" s="765"/>
      <c r="K41" s="765"/>
      <c r="L41" s="765"/>
      <c r="M41" s="765"/>
      <c r="N41" s="765"/>
      <c r="O41" s="765"/>
      <c r="P41" s="765"/>
      <c r="Q41" s="765"/>
      <c r="R41" s="765"/>
      <c r="S41" s="765"/>
      <c r="T41" s="765"/>
      <c r="U41" s="765"/>
      <c r="V41" s="765"/>
      <c r="W41" s="765"/>
      <c r="X41" s="765"/>
      <c r="Y41" s="109"/>
      <c r="Z41" s="110"/>
      <c r="AA41" s="110"/>
    </row>
    <row r="42" spans="2:27" ht="10.5" customHeight="1">
      <c r="B42" s="766"/>
      <c r="C42" s="767"/>
      <c r="D42" s="767"/>
      <c r="E42" s="767"/>
      <c r="F42" s="767"/>
      <c r="G42" s="767"/>
      <c r="H42" s="767"/>
      <c r="I42" s="767"/>
      <c r="J42" s="767"/>
      <c r="K42" s="767"/>
      <c r="L42" s="767"/>
      <c r="M42" s="767"/>
      <c r="N42" s="767"/>
      <c r="O42" s="767"/>
      <c r="P42" s="767"/>
      <c r="Q42" s="767"/>
      <c r="R42" s="767"/>
      <c r="S42" s="767"/>
      <c r="T42" s="767"/>
      <c r="U42" s="767"/>
      <c r="V42" s="767"/>
      <c r="W42" s="767"/>
      <c r="X42" s="768"/>
      <c r="Y42" s="111"/>
      <c r="Z42" s="57"/>
      <c r="AA42" s="58"/>
    </row>
    <row r="43" spans="2:27" ht="18" customHeight="1">
      <c r="B43" s="769" t="s">
        <v>43</v>
      </c>
      <c r="C43" s="770"/>
      <c r="D43" s="770"/>
      <c r="E43" s="770"/>
      <c r="F43" s="770"/>
      <c r="G43" s="770"/>
      <c r="H43" s="770"/>
      <c r="I43" s="770"/>
      <c r="J43" s="770"/>
      <c r="K43" s="770"/>
      <c r="L43" s="770"/>
      <c r="M43" s="770"/>
      <c r="N43" s="770"/>
      <c r="O43" s="770"/>
      <c r="P43" s="770"/>
      <c r="Q43" s="770"/>
      <c r="R43" s="770"/>
      <c r="S43" s="770"/>
      <c r="T43" s="770"/>
      <c r="U43" s="770"/>
      <c r="V43" s="770"/>
      <c r="W43" s="770"/>
      <c r="X43" s="771"/>
      <c r="Y43" s="111"/>
      <c r="Z43" s="57"/>
      <c r="AA43" s="58"/>
    </row>
    <row r="44" spans="2:27" ht="32.25" customHeight="1">
      <c r="B44" s="772"/>
      <c r="C44" s="773"/>
      <c r="D44" s="773"/>
      <c r="E44" s="773"/>
      <c r="F44" s="773"/>
      <c r="G44" s="773"/>
      <c r="H44" s="773"/>
      <c r="I44" s="773"/>
      <c r="J44" s="773"/>
      <c r="K44" s="773"/>
      <c r="L44" s="773"/>
      <c r="M44" s="773"/>
      <c r="N44" s="773"/>
      <c r="O44" s="773"/>
      <c r="P44" s="773"/>
      <c r="Q44" s="773"/>
      <c r="R44" s="773"/>
      <c r="S44" s="773"/>
      <c r="T44" s="773"/>
      <c r="U44" s="773"/>
      <c r="V44" s="773"/>
      <c r="W44" s="773"/>
      <c r="X44" s="774"/>
      <c r="Y44" s="111"/>
      <c r="Z44" s="57"/>
      <c r="AA44" s="58"/>
    </row>
    <row r="45" spans="2:27" ht="8.4499999999999993" customHeight="1">
      <c r="B45" s="124"/>
      <c r="C45" s="125"/>
      <c r="D45" s="125"/>
      <c r="E45" s="125"/>
      <c r="F45" s="125"/>
      <c r="G45" s="767"/>
      <c r="H45" s="767"/>
      <c r="I45" s="767"/>
      <c r="J45" s="767"/>
      <c r="K45" s="767"/>
      <c r="L45" s="767"/>
      <c r="M45" s="125"/>
      <c r="N45" s="125"/>
      <c r="O45" s="125"/>
      <c r="P45" s="125"/>
      <c r="Q45" s="125"/>
      <c r="R45" s="125"/>
      <c r="S45" s="125"/>
      <c r="T45" s="125"/>
      <c r="U45" s="125"/>
      <c r="V45" s="125"/>
      <c r="W45" s="125"/>
      <c r="X45" s="126"/>
      <c r="Y45" s="111"/>
      <c r="Z45" s="57"/>
      <c r="AA45" s="58"/>
    </row>
    <row r="46" spans="2:27" ht="12.75">
      <c r="B46" s="776" t="s">
        <v>44</v>
      </c>
      <c r="C46" s="777"/>
      <c r="D46" s="777"/>
      <c r="E46" s="777"/>
      <c r="F46" s="777"/>
      <c r="G46" s="777"/>
      <c r="H46" s="777"/>
      <c r="J46" s="112" t="s">
        <v>45</v>
      </c>
      <c r="L46" s="778" t="s">
        <v>199</v>
      </c>
      <c r="M46" s="779"/>
      <c r="O46" s="104" t="s">
        <v>46</v>
      </c>
      <c r="Q46" s="780"/>
      <c r="R46" s="593"/>
      <c r="X46" s="129"/>
      <c r="Y46" s="111"/>
      <c r="Z46" s="57"/>
      <c r="AA46" s="58"/>
    </row>
    <row r="47" spans="2:27" ht="8.4499999999999993" customHeight="1">
      <c r="B47" s="114"/>
      <c r="I47" s="781"/>
      <c r="J47" s="781"/>
      <c r="K47" s="781"/>
      <c r="L47" s="781"/>
      <c r="M47" s="781"/>
      <c r="N47" s="781"/>
      <c r="O47" s="781"/>
      <c r="P47" s="781"/>
      <c r="Q47" s="781"/>
      <c r="R47" s="781"/>
      <c r="S47" s="781"/>
      <c r="T47" s="781"/>
      <c r="U47" s="781"/>
      <c r="V47" s="781"/>
      <c r="W47" s="781"/>
      <c r="X47" s="782"/>
      <c r="Y47" s="111"/>
      <c r="Z47" s="57"/>
      <c r="AA47" s="58"/>
    </row>
    <row r="48" spans="2:27" ht="35.25" customHeight="1">
      <c r="B48" s="783" t="s">
        <v>57</v>
      </c>
      <c r="C48" s="784"/>
      <c r="D48" s="784"/>
      <c r="E48" s="784"/>
      <c r="F48" s="784"/>
      <c r="G48" s="784"/>
      <c r="H48" s="784"/>
      <c r="I48" s="784"/>
      <c r="J48" s="784"/>
      <c r="K48" s="784"/>
      <c r="L48" s="784"/>
      <c r="M48" s="784"/>
      <c r="N48" s="784"/>
      <c r="O48" s="784"/>
      <c r="P48" s="784"/>
      <c r="Q48" s="784"/>
      <c r="R48" s="784"/>
      <c r="S48" s="784"/>
      <c r="T48" s="784"/>
      <c r="U48" s="784"/>
      <c r="V48" s="784"/>
      <c r="W48" s="784"/>
      <c r="X48" s="785"/>
      <c r="Y48" s="111"/>
      <c r="Z48" s="57"/>
      <c r="AA48" s="58"/>
    </row>
    <row r="49" spans="2:27" ht="8.4499999999999993" customHeight="1">
      <c r="B49" s="115"/>
      <c r="C49" s="127"/>
      <c r="D49" s="127"/>
      <c r="E49" s="127"/>
      <c r="F49" s="127"/>
      <c r="G49" s="133"/>
      <c r="H49" s="127"/>
      <c r="I49" s="16"/>
      <c r="J49" s="35"/>
      <c r="K49" s="7"/>
      <c r="L49" s="127"/>
      <c r="M49" s="127"/>
      <c r="N49" s="127"/>
      <c r="O49" s="127"/>
      <c r="P49" s="127"/>
      <c r="Q49" s="127"/>
      <c r="R49" s="127"/>
      <c r="S49" s="127"/>
      <c r="T49" s="127"/>
      <c r="U49" s="127"/>
      <c r="V49" s="127"/>
      <c r="W49" s="127"/>
      <c r="X49" s="130"/>
      <c r="Y49" s="111"/>
      <c r="Z49" s="57"/>
      <c r="AA49" s="58"/>
    </row>
    <row r="50" spans="2:27" ht="13.5" customHeight="1">
      <c r="G50" s="761"/>
      <c r="H50" s="761"/>
      <c r="I50" s="761"/>
      <c r="J50" s="761"/>
      <c r="K50" s="761"/>
      <c r="L50" s="761"/>
      <c r="M50" s="761"/>
      <c r="N50" s="761"/>
      <c r="O50" s="761"/>
      <c r="P50" s="761"/>
      <c r="Q50" s="761"/>
      <c r="R50" s="761"/>
      <c r="S50" s="761"/>
      <c r="T50" s="761"/>
      <c r="U50" s="761"/>
      <c r="V50" s="761"/>
      <c r="W50" s="761"/>
      <c r="X50" s="761"/>
      <c r="Y50" s="111"/>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7">
    <tabColor rgb="FFFFFF00"/>
    <pageSetUpPr fitToPage="1"/>
  </sheetPr>
  <dimension ref="B1:AR50"/>
  <sheetViews>
    <sheetView zoomScale="80" zoomScaleNormal="80" zoomScaleSheetLayoutView="100" workbookViewId="0">
      <selection activeCell="AL21" sqref="AL21:AO21"/>
    </sheetView>
  </sheetViews>
  <sheetFormatPr baseColWidth="10" defaultColWidth="4.625" defaultRowHeight="13.5" customHeight="1"/>
  <cols>
    <col min="1" max="1" width="1" style="123" customWidth="1"/>
    <col min="2" max="2" width="9.875" style="123" customWidth="1"/>
    <col min="3" max="3" width="8.5" style="123" customWidth="1"/>
    <col min="4" max="4" width="8.25" style="123" customWidth="1"/>
    <col min="5" max="5" width="8.125" style="123" customWidth="1"/>
    <col min="6" max="6" width="6.625" style="123" customWidth="1"/>
    <col min="7" max="7" width="3.5" style="123" customWidth="1"/>
    <col min="8" max="8" width="2.375" style="123" customWidth="1"/>
    <col min="9" max="9" width="2" style="123" customWidth="1"/>
    <col min="10" max="10" width="7.25" style="123" customWidth="1"/>
    <col min="11" max="11" width="1.75" style="123" customWidth="1"/>
    <col min="12" max="12" width="2.125" style="123" customWidth="1"/>
    <col min="13" max="13" width="2.375" style="123" customWidth="1"/>
    <col min="14" max="14" width="6.125" style="123" customWidth="1"/>
    <col min="15" max="15" width="4.5" style="123" customWidth="1"/>
    <col min="16" max="16" width="2" style="123" customWidth="1"/>
    <col min="17" max="17" width="1.5" style="123" customWidth="1"/>
    <col min="18" max="18" width="3.75" style="123" customWidth="1"/>
    <col min="19" max="19" width="5.375" style="123" customWidth="1"/>
    <col min="20" max="20" width="3.875" style="123" customWidth="1"/>
    <col min="21" max="21" width="4.375" style="123" customWidth="1"/>
    <col min="22" max="22" width="5.875" style="123" customWidth="1"/>
    <col min="23" max="23" width="5.75" style="123" customWidth="1"/>
    <col min="24" max="24" width="6.25" style="123" customWidth="1"/>
    <col min="25" max="25" width="1.375" style="94" customWidth="1"/>
    <col min="26" max="26" width="3.25" style="95" customWidth="1"/>
    <col min="27" max="27" width="3.75" style="95" customWidth="1"/>
    <col min="28" max="43" width="4.625" style="95"/>
    <col min="44" max="44" width="8.125" style="123" customWidth="1"/>
    <col min="45" max="16384" width="4.625" style="123"/>
  </cols>
  <sheetData>
    <row r="1" spans="2:44" ht="20.25" customHeight="1">
      <c r="B1" s="838" t="s">
        <v>72</v>
      </c>
      <c r="C1" s="839"/>
      <c r="D1" s="839"/>
      <c r="E1" s="839"/>
      <c r="F1" s="839"/>
      <c r="G1" s="839"/>
      <c r="H1" s="839"/>
      <c r="I1" s="839"/>
      <c r="J1" s="839"/>
      <c r="K1" s="839"/>
      <c r="L1" s="839"/>
      <c r="M1" s="839"/>
      <c r="N1" s="839"/>
      <c r="O1" s="839"/>
      <c r="P1" s="839"/>
      <c r="Q1" s="839"/>
      <c r="R1" s="839"/>
      <c r="S1" s="839"/>
      <c r="T1" s="840"/>
      <c r="U1" s="841"/>
      <c r="V1" s="842"/>
      <c r="W1" s="842"/>
      <c r="X1" s="843"/>
      <c r="AB1" s="667" t="s">
        <v>447</v>
      </c>
      <c r="AC1" s="667"/>
      <c r="AD1" s="667"/>
      <c r="AE1" s="667"/>
      <c r="AF1" s="667"/>
      <c r="AG1" s="667"/>
      <c r="AH1" s="667"/>
      <c r="AI1" s="667"/>
      <c r="AJ1" s="667"/>
      <c r="AK1" s="667"/>
      <c r="AL1" s="667"/>
      <c r="AM1" s="667"/>
      <c r="AN1" s="667"/>
      <c r="AO1" s="667"/>
      <c r="AP1" s="667"/>
      <c r="AQ1" s="667"/>
      <c r="AR1" s="667"/>
    </row>
    <row r="2" spans="2:44" ht="13.5" customHeight="1">
      <c r="B2" s="850" t="s">
        <v>75</v>
      </c>
      <c r="C2" s="851"/>
      <c r="D2" s="851"/>
      <c r="E2" s="851"/>
      <c r="F2" s="851"/>
      <c r="G2" s="851"/>
      <c r="H2" s="851"/>
      <c r="I2" s="851"/>
      <c r="J2" s="851"/>
      <c r="K2" s="851"/>
      <c r="L2" s="851"/>
      <c r="M2" s="851"/>
      <c r="N2" s="851"/>
      <c r="O2" s="851"/>
      <c r="P2" s="851"/>
      <c r="Q2" s="851"/>
      <c r="R2" s="851"/>
      <c r="S2" s="851"/>
      <c r="T2" s="852"/>
      <c r="U2" s="844"/>
      <c r="V2" s="845"/>
      <c r="W2" s="845"/>
      <c r="X2" s="846"/>
    </row>
    <row r="3" spans="2:44" ht="13.5" customHeight="1">
      <c r="B3" s="853"/>
      <c r="C3" s="854"/>
      <c r="D3" s="854"/>
      <c r="E3" s="854"/>
      <c r="F3" s="854"/>
      <c r="G3" s="854"/>
      <c r="H3" s="854"/>
      <c r="I3" s="854"/>
      <c r="J3" s="854"/>
      <c r="K3" s="854"/>
      <c r="L3" s="854"/>
      <c r="M3" s="854"/>
      <c r="N3" s="854"/>
      <c r="O3" s="854"/>
      <c r="P3" s="854"/>
      <c r="Q3" s="854"/>
      <c r="R3" s="854"/>
      <c r="S3" s="854"/>
      <c r="T3" s="855"/>
      <c r="U3" s="844"/>
      <c r="V3" s="845"/>
      <c r="W3" s="845"/>
      <c r="X3" s="846"/>
      <c r="AB3" s="676" t="s">
        <v>194</v>
      </c>
      <c r="AC3" s="676"/>
      <c r="AD3" s="676"/>
      <c r="AE3" s="676"/>
      <c r="AF3" s="676"/>
      <c r="AG3" s="676"/>
      <c r="AH3" s="676"/>
      <c r="AI3" s="676"/>
      <c r="AJ3" s="676"/>
      <c r="AK3" s="676"/>
      <c r="AL3" s="676"/>
      <c r="AM3" s="676"/>
      <c r="AN3" s="676"/>
      <c r="AO3" s="676"/>
      <c r="AP3" s="676"/>
      <c r="AQ3" s="676"/>
      <c r="AR3" s="676"/>
    </row>
    <row r="4" spans="2:44" ht="13.5" customHeight="1">
      <c r="B4" s="856"/>
      <c r="C4" s="857"/>
      <c r="D4" s="857"/>
      <c r="E4" s="857"/>
      <c r="F4" s="857"/>
      <c r="G4" s="857"/>
      <c r="H4" s="857"/>
      <c r="I4" s="857"/>
      <c r="J4" s="857"/>
      <c r="K4" s="857"/>
      <c r="L4" s="857"/>
      <c r="M4" s="857"/>
      <c r="N4" s="857"/>
      <c r="O4" s="857"/>
      <c r="P4" s="857"/>
      <c r="Q4" s="857"/>
      <c r="R4" s="857"/>
      <c r="S4" s="857"/>
      <c r="T4" s="858"/>
      <c r="U4" s="847"/>
      <c r="V4" s="848"/>
      <c r="W4" s="848"/>
      <c r="X4" s="849"/>
      <c r="AB4" s="676"/>
      <c r="AC4" s="676"/>
      <c r="AD4" s="676"/>
      <c r="AE4" s="676"/>
      <c r="AF4" s="676"/>
      <c r="AG4" s="676"/>
      <c r="AH4" s="676"/>
      <c r="AI4" s="676"/>
      <c r="AJ4" s="676"/>
      <c r="AK4" s="676"/>
      <c r="AL4" s="676"/>
      <c r="AM4" s="676"/>
      <c r="AN4" s="676"/>
      <c r="AO4" s="676"/>
      <c r="AP4" s="676"/>
      <c r="AQ4" s="676"/>
      <c r="AR4" s="676"/>
    </row>
    <row r="5" spans="2:44" s="41" customFormat="1" ht="14.25" customHeight="1">
      <c r="B5" s="121" t="s">
        <v>0</v>
      </c>
      <c r="C5" s="561" t="s">
        <v>126</v>
      </c>
      <c r="D5" s="561"/>
      <c r="E5" s="562" t="s">
        <v>1</v>
      </c>
      <c r="F5" s="562"/>
      <c r="G5" s="562"/>
      <c r="H5" s="561" t="s">
        <v>118</v>
      </c>
      <c r="I5" s="561"/>
      <c r="J5" s="561"/>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825"/>
      <c r="C6" s="825"/>
      <c r="D6" s="825"/>
      <c r="E6" s="825"/>
      <c r="F6" s="825"/>
      <c r="G6" s="825"/>
      <c r="H6" s="825"/>
      <c r="I6" s="825"/>
      <c r="J6" s="825"/>
      <c r="K6" s="825"/>
      <c r="L6" s="825"/>
      <c r="M6" s="825"/>
      <c r="N6" s="825"/>
      <c r="O6" s="825"/>
      <c r="P6" s="825"/>
      <c r="Q6" s="825"/>
      <c r="R6" s="825"/>
      <c r="S6" s="825"/>
      <c r="T6" s="825"/>
      <c r="U6" s="825"/>
      <c r="V6" s="825"/>
      <c r="W6" s="825"/>
      <c r="X6" s="825"/>
      <c r="AB6" s="675"/>
      <c r="AC6" s="675"/>
      <c r="AD6" s="675"/>
      <c r="AE6" s="675"/>
      <c r="AF6" s="675"/>
      <c r="AG6" s="675"/>
      <c r="AH6" s="675"/>
      <c r="AI6" s="675"/>
      <c r="AJ6" s="675"/>
      <c r="AK6" s="675"/>
      <c r="AL6" s="675"/>
      <c r="AM6" s="675"/>
      <c r="AN6" s="675"/>
      <c r="AO6" s="675"/>
      <c r="AP6" s="676"/>
      <c r="AQ6" s="676"/>
      <c r="AR6" s="678"/>
    </row>
    <row r="7" spans="2:44" ht="14.25" customHeight="1">
      <c r="B7" s="826" t="s">
        <v>76</v>
      </c>
      <c r="C7" s="827"/>
      <c r="D7" s="827"/>
      <c r="E7" s="827"/>
      <c r="F7" s="828"/>
      <c r="G7" s="832" t="s">
        <v>87</v>
      </c>
      <c r="H7" s="833"/>
      <c r="I7" s="833"/>
      <c r="J7" s="833"/>
      <c r="K7" s="833"/>
      <c r="L7" s="833"/>
      <c r="M7" s="833"/>
      <c r="N7" s="833"/>
      <c r="O7" s="833"/>
      <c r="P7" s="833"/>
      <c r="Q7" s="833"/>
      <c r="R7" s="833"/>
      <c r="S7" s="833"/>
      <c r="T7" s="833"/>
      <c r="U7" s="833"/>
      <c r="V7" s="833"/>
      <c r="W7" s="833"/>
      <c r="X7" s="834"/>
      <c r="AB7" s="806">
        <v>2019</v>
      </c>
      <c r="AC7" s="806"/>
      <c r="AD7" s="801" t="s">
        <v>127</v>
      </c>
      <c r="AE7" s="801"/>
      <c r="AF7" s="801"/>
      <c r="AG7" s="801"/>
      <c r="AH7" s="801"/>
      <c r="AI7" s="673"/>
      <c r="AJ7" s="673"/>
      <c r="AK7" s="673"/>
      <c r="AL7" s="673"/>
      <c r="AM7" s="673"/>
      <c r="AN7" s="673"/>
      <c r="AO7" s="673"/>
      <c r="AP7" s="674" t="e">
        <f t="shared" ref="AP7:AP10" si="0">AL7/AI7</f>
        <v>#DIV/0!</v>
      </c>
      <c r="AQ7" s="674"/>
      <c r="AR7" s="668" t="e">
        <f>SUM(AP7:AQ10)/4</f>
        <v>#DIV/0!</v>
      </c>
    </row>
    <row r="8" spans="2:44" ht="14.25" customHeight="1">
      <c r="B8" s="829"/>
      <c r="C8" s="830"/>
      <c r="D8" s="830"/>
      <c r="E8" s="830"/>
      <c r="F8" s="831"/>
      <c r="G8" s="835"/>
      <c r="H8" s="836"/>
      <c r="I8" s="836"/>
      <c r="J8" s="836"/>
      <c r="K8" s="836"/>
      <c r="L8" s="836"/>
      <c r="M8" s="836"/>
      <c r="N8" s="836"/>
      <c r="O8" s="836"/>
      <c r="P8" s="836"/>
      <c r="Q8" s="836"/>
      <c r="R8" s="836"/>
      <c r="S8" s="836"/>
      <c r="T8" s="836"/>
      <c r="U8" s="836"/>
      <c r="V8" s="836"/>
      <c r="W8" s="836"/>
      <c r="X8" s="837"/>
      <c r="AB8" s="806"/>
      <c r="AC8" s="806"/>
      <c r="AD8" s="801" t="s">
        <v>128</v>
      </c>
      <c r="AE8" s="801"/>
      <c r="AF8" s="801"/>
      <c r="AG8" s="801"/>
      <c r="AH8" s="801"/>
      <c r="AI8" s="673"/>
      <c r="AJ8" s="673"/>
      <c r="AK8" s="673"/>
      <c r="AL8" s="673"/>
      <c r="AM8" s="673"/>
      <c r="AN8" s="673"/>
      <c r="AO8" s="673"/>
      <c r="AP8" s="674" t="e">
        <f t="shared" si="0"/>
        <v>#DIV/0!</v>
      </c>
      <c r="AQ8" s="674"/>
      <c r="AR8" s="668"/>
    </row>
    <row r="9" spans="2:44" ht="19.149999999999999" customHeight="1">
      <c r="B9" s="791" t="s">
        <v>49</v>
      </c>
      <c r="C9" s="792"/>
      <c r="D9" s="792"/>
      <c r="E9" s="792"/>
      <c r="F9" s="792"/>
      <c r="G9" s="792"/>
      <c r="H9" s="792"/>
      <c r="I9" s="792"/>
      <c r="J9" s="792"/>
      <c r="K9" s="792"/>
      <c r="L9" s="792"/>
      <c r="M9" s="792"/>
      <c r="N9" s="792"/>
      <c r="O9" s="792"/>
      <c r="P9" s="792"/>
      <c r="Q9" s="792"/>
      <c r="R9" s="792"/>
      <c r="S9" s="792"/>
      <c r="T9" s="792"/>
      <c r="U9" s="792"/>
      <c r="V9" s="792"/>
      <c r="W9" s="792"/>
      <c r="X9" s="793"/>
      <c r="AB9" s="806"/>
      <c r="AC9" s="806"/>
      <c r="AD9" s="801" t="s">
        <v>129</v>
      </c>
      <c r="AE9" s="801"/>
      <c r="AF9" s="801"/>
      <c r="AG9" s="801"/>
      <c r="AH9" s="801"/>
      <c r="AI9" s="673"/>
      <c r="AJ9" s="673"/>
      <c r="AK9" s="673"/>
      <c r="AL9" s="673"/>
      <c r="AM9" s="673"/>
      <c r="AN9" s="673"/>
      <c r="AO9" s="673"/>
      <c r="AP9" s="674" t="e">
        <f t="shared" si="0"/>
        <v>#DIV/0!</v>
      </c>
      <c r="AQ9" s="674"/>
      <c r="AR9" s="668"/>
    </row>
    <row r="10" spans="2:44" ht="15" customHeight="1">
      <c r="B10" s="802" t="s">
        <v>4</v>
      </c>
      <c r="C10" s="803"/>
      <c r="D10" s="803"/>
      <c r="E10" s="803"/>
      <c r="F10" s="803"/>
      <c r="G10" s="803"/>
      <c r="H10" s="803"/>
      <c r="I10" s="803"/>
      <c r="J10" s="803"/>
      <c r="K10" s="803"/>
      <c r="L10" s="803"/>
      <c r="M10" s="803"/>
      <c r="N10" s="803"/>
      <c r="O10" s="803"/>
      <c r="P10" s="803"/>
      <c r="Q10" s="803"/>
      <c r="R10" s="803"/>
      <c r="S10" s="803"/>
      <c r="T10" s="803"/>
      <c r="U10" s="803"/>
      <c r="V10" s="803"/>
      <c r="W10" s="803"/>
      <c r="X10" s="803"/>
      <c r="AB10" s="806"/>
      <c r="AC10" s="806"/>
      <c r="AD10" s="801" t="s">
        <v>130</v>
      </c>
      <c r="AE10" s="801"/>
      <c r="AF10" s="801"/>
      <c r="AG10" s="801"/>
      <c r="AH10" s="801"/>
      <c r="AI10" s="673"/>
      <c r="AJ10" s="673"/>
      <c r="AK10" s="673"/>
      <c r="AL10" s="673"/>
      <c r="AM10" s="673"/>
      <c r="AN10" s="673"/>
      <c r="AO10" s="673"/>
      <c r="AP10" s="674" t="e">
        <f t="shared" si="0"/>
        <v>#DIV/0!</v>
      </c>
      <c r="AQ10" s="674"/>
      <c r="AR10" s="668"/>
    </row>
    <row r="11" spans="2:44" ht="38.25" customHeight="1">
      <c r="B11" s="823" t="s">
        <v>174</v>
      </c>
      <c r="C11" s="823"/>
      <c r="D11" s="823"/>
      <c r="E11" s="823"/>
      <c r="F11" s="823"/>
      <c r="G11" s="823"/>
      <c r="H11" s="823"/>
      <c r="I11" s="823"/>
      <c r="J11" s="823"/>
      <c r="K11" s="823"/>
      <c r="L11" s="823"/>
      <c r="M11" s="823"/>
      <c r="N11" s="823"/>
      <c r="O11" s="823"/>
      <c r="P11" s="823"/>
      <c r="Q11" s="823"/>
      <c r="R11" s="823"/>
      <c r="S11" s="823"/>
      <c r="T11" s="823"/>
      <c r="U11" s="823"/>
      <c r="V11" s="823"/>
      <c r="W11" s="823"/>
      <c r="X11" s="823"/>
      <c r="AB11" s="805">
        <v>2020</v>
      </c>
      <c r="AC11" s="805"/>
      <c r="AD11" s="797" t="s">
        <v>131</v>
      </c>
      <c r="AE11" s="797"/>
      <c r="AF11" s="797"/>
      <c r="AG11" s="797"/>
      <c r="AH11" s="797"/>
      <c r="AI11" s="672">
        <v>189</v>
      </c>
      <c r="AJ11" s="672"/>
      <c r="AK11" s="672"/>
      <c r="AL11" s="672">
        <v>333</v>
      </c>
      <c r="AM11" s="672"/>
      <c r="AN11" s="672"/>
      <c r="AO11" s="672"/>
      <c r="AP11" s="671">
        <f>AL11/AI11</f>
        <v>1.7619047619047619</v>
      </c>
      <c r="AQ11" s="671"/>
      <c r="AR11" s="669">
        <f>SUM(AP11:AQ14)/4</f>
        <v>1.280717833137359</v>
      </c>
    </row>
    <row r="12" spans="2:44" ht="12.75">
      <c r="B12" s="810" t="s">
        <v>56</v>
      </c>
      <c r="C12" s="814"/>
      <c r="D12" s="814"/>
      <c r="E12" s="814"/>
      <c r="F12" s="811"/>
      <c r="G12" s="810" t="s">
        <v>48</v>
      </c>
      <c r="H12" s="814"/>
      <c r="I12" s="814"/>
      <c r="J12" s="811"/>
      <c r="K12" s="810" t="s">
        <v>5</v>
      </c>
      <c r="L12" s="814"/>
      <c r="M12" s="814"/>
      <c r="N12" s="811"/>
      <c r="O12" s="802" t="s">
        <v>6</v>
      </c>
      <c r="P12" s="803"/>
      <c r="Q12" s="803"/>
      <c r="R12" s="803"/>
      <c r="S12" s="803"/>
      <c r="T12" s="803"/>
      <c r="U12" s="803"/>
      <c r="V12" s="803"/>
      <c r="W12" s="803"/>
      <c r="X12" s="804"/>
      <c r="Y12" s="97"/>
      <c r="Z12" s="98"/>
      <c r="AA12" s="98"/>
      <c r="AB12" s="805"/>
      <c r="AC12" s="805"/>
      <c r="AD12" s="797" t="s">
        <v>132</v>
      </c>
      <c r="AE12" s="797"/>
      <c r="AF12" s="797"/>
      <c r="AG12" s="797"/>
      <c r="AH12" s="797"/>
      <c r="AI12" s="672">
        <v>76</v>
      </c>
      <c r="AJ12" s="672"/>
      <c r="AK12" s="672"/>
      <c r="AL12" s="672">
        <v>94</v>
      </c>
      <c r="AM12" s="672"/>
      <c r="AN12" s="672"/>
      <c r="AO12" s="672"/>
      <c r="AP12" s="671">
        <f t="shared" ref="AP12:AP22" si="1">AL12/AI12</f>
        <v>1.236842105263158</v>
      </c>
      <c r="AQ12" s="671"/>
      <c r="AR12" s="669"/>
    </row>
    <row r="13" spans="2:44" ht="25.5" customHeight="1">
      <c r="B13" s="812"/>
      <c r="C13" s="815"/>
      <c r="D13" s="815"/>
      <c r="E13" s="815"/>
      <c r="F13" s="813"/>
      <c r="G13" s="812"/>
      <c r="H13" s="815"/>
      <c r="I13" s="815"/>
      <c r="J13" s="813"/>
      <c r="K13" s="812"/>
      <c r="L13" s="815"/>
      <c r="M13" s="815"/>
      <c r="N13" s="813"/>
      <c r="O13" s="802" t="s">
        <v>55</v>
      </c>
      <c r="P13" s="803"/>
      <c r="Q13" s="803"/>
      <c r="R13" s="804"/>
      <c r="S13" s="802" t="s">
        <v>54</v>
      </c>
      <c r="T13" s="803"/>
      <c r="U13" s="804"/>
      <c r="V13" s="802" t="s">
        <v>53</v>
      </c>
      <c r="W13" s="803"/>
      <c r="X13" s="804"/>
      <c r="Y13" s="97"/>
      <c r="Z13" s="98"/>
      <c r="AA13" s="98"/>
      <c r="AB13" s="805"/>
      <c r="AC13" s="805"/>
      <c r="AD13" s="797" t="s">
        <v>133</v>
      </c>
      <c r="AE13" s="797"/>
      <c r="AF13" s="797"/>
      <c r="AG13" s="797"/>
      <c r="AH13" s="797"/>
      <c r="AI13" s="672">
        <v>146</v>
      </c>
      <c r="AJ13" s="672"/>
      <c r="AK13" s="672"/>
      <c r="AL13" s="672">
        <v>141</v>
      </c>
      <c r="AM13" s="672"/>
      <c r="AN13" s="672"/>
      <c r="AO13" s="672"/>
      <c r="AP13" s="671">
        <f t="shared" si="1"/>
        <v>0.96575342465753422</v>
      </c>
      <c r="AQ13" s="671"/>
      <c r="AR13" s="669"/>
    </row>
    <row r="14" spans="2:44" ht="29.25" customHeight="1">
      <c r="B14" s="818" t="s">
        <v>362</v>
      </c>
      <c r="C14" s="818"/>
      <c r="D14" s="818"/>
      <c r="E14" s="818"/>
      <c r="F14" s="818"/>
      <c r="G14" s="711" t="s">
        <v>100</v>
      </c>
      <c r="H14" s="711"/>
      <c r="I14" s="711"/>
      <c r="J14" s="711"/>
      <c r="K14" s="711">
        <v>0.81</v>
      </c>
      <c r="L14" s="711"/>
      <c r="M14" s="711"/>
      <c r="N14" s="711"/>
      <c r="O14" s="820">
        <v>1</v>
      </c>
      <c r="P14" s="821"/>
      <c r="Q14" s="821"/>
      <c r="R14" s="822"/>
      <c r="S14" s="591">
        <v>44561</v>
      </c>
      <c r="T14" s="592"/>
      <c r="U14" s="593"/>
      <c r="V14" s="594">
        <v>2021</v>
      </c>
      <c r="W14" s="594"/>
      <c r="X14" s="594"/>
      <c r="AB14" s="805"/>
      <c r="AC14" s="805"/>
      <c r="AD14" s="797" t="s">
        <v>134</v>
      </c>
      <c r="AE14" s="797"/>
      <c r="AF14" s="797"/>
      <c r="AG14" s="797"/>
      <c r="AH14" s="797"/>
      <c r="AI14" s="672">
        <v>221</v>
      </c>
      <c r="AJ14" s="672"/>
      <c r="AK14" s="672"/>
      <c r="AL14" s="672">
        <v>256</v>
      </c>
      <c r="AM14" s="672"/>
      <c r="AN14" s="672"/>
      <c r="AO14" s="672"/>
      <c r="AP14" s="671">
        <f t="shared" si="1"/>
        <v>1.158371040723982</v>
      </c>
      <c r="AQ14" s="671"/>
      <c r="AR14" s="669"/>
    </row>
    <row r="15" spans="2:44" ht="18" customHeight="1">
      <c r="B15" s="791" t="s">
        <v>7</v>
      </c>
      <c r="C15" s="792"/>
      <c r="D15" s="792"/>
      <c r="E15" s="792"/>
      <c r="F15" s="792"/>
      <c r="G15" s="792"/>
      <c r="H15" s="792"/>
      <c r="I15" s="792"/>
      <c r="J15" s="792"/>
      <c r="K15" s="792"/>
      <c r="L15" s="792"/>
      <c r="M15" s="792"/>
      <c r="N15" s="792"/>
      <c r="O15" s="792"/>
      <c r="P15" s="792"/>
      <c r="Q15" s="792"/>
      <c r="R15" s="792"/>
      <c r="S15" s="792"/>
      <c r="T15" s="792"/>
      <c r="U15" s="792"/>
      <c r="V15" s="792"/>
      <c r="W15" s="792"/>
      <c r="X15" s="793"/>
      <c r="Z15" s="95" t="s">
        <v>51</v>
      </c>
      <c r="AB15" s="806">
        <v>2021</v>
      </c>
      <c r="AC15" s="806"/>
      <c r="AD15" s="801" t="s">
        <v>135</v>
      </c>
      <c r="AE15" s="801"/>
      <c r="AF15" s="801"/>
      <c r="AG15" s="801"/>
      <c r="AH15" s="801"/>
      <c r="AI15" s="673">
        <v>216</v>
      </c>
      <c r="AJ15" s="673"/>
      <c r="AK15" s="673"/>
      <c r="AL15" s="673">
        <v>220</v>
      </c>
      <c r="AM15" s="673"/>
      <c r="AN15" s="673"/>
      <c r="AO15" s="673"/>
      <c r="AP15" s="674">
        <f t="shared" si="1"/>
        <v>1.0185185185185186</v>
      </c>
      <c r="AQ15" s="674"/>
      <c r="AR15" s="668">
        <f t="shared" ref="AR15" si="2">SUM(AP15:AQ18)/4</f>
        <v>0.80777451416065782</v>
      </c>
    </row>
    <row r="16" spans="2:44" ht="12.75" customHeight="1">
      <c r="B16" s="808" t="s">
        <v>52</v>
      </c>
      <c r="C16" s="810" t="s">
        <v>8</v>
      </c>
      <c r="D16" s="811"/>
      <c r="E16" s="810" t="s">
        <v>115</v>
      </c>
      <c r="F16" s="811"/>
      <c r="G16" s="810" t="s">
        <v>109</v>
      </c>
      <c r="H16" s="814"/>
      <c r="I16" s="814"/>
      <c r="J16" s="814"/>
      <c r="K16" s="814"/>
      <c r="L16" s="811"/>
      <c r="M16" s="816" t="s">
        <v>116</v>
      </c>
      <c r="N16" s="816"/>
      <c r="O16" s="816"/>
      <c r="P16" s="816"/>
      <c r="Q16" s="816"/>
      <c r="R16" s="816"/>
      <c r="S16" s="816"/>
      <c r="T16" s="816"/>
      <c r="U16" s="816"/>
      <c r="V16" s="816"/>
      <c r="W16" s="816"/>
      <c r="X16" s="816"/>
      <c r="AB16" s="806"/>
      <c r="AC16" s="806"/>
      <c r="AD16" s="801" t="s">
        <v>136</v>
      </c>
      <c r="AE16" s="801"/>
      <c r="AF16" s="801"/>
      <c r="AG16" s="801"/>
      <c r="AH16" s="801"/>
      <c r="AI16" s="673">
        <v>230</v>
      </c>
      <c r="AJ16" s="673"/>
      <c r="AK16" s="673"/>
      <c r="AL16" s="673">
        <v>144</v>
      </c>
      <c r="AM16" s="673"/>
      <c r="AN16" s="673"/>
      <c r="AO16" s="673"/>
      <c r="AP16" s="674">
        <f t="shared" si="1"/>
        <v>0.62608695652173918</v>
      </c>
      <c r="AQ16" s="674"/>
      <c r="AR16" s="668"/>
    </row>
    <row r="17" spans="2:44" ht="12.75" customHeight="1">
      <c r="B17" s="809"/>
      <c r="C17" s="812"/>
      <c r="D17" s="813"/>
      <c r="E17" s="812"/>
      <c r="F17" s="813"/>
      <c r="G17" s="812"/>
      <c r="H17" s="815"/>
      <c r="I17" s="815"/>
      <c r="J17" s="815"/>
      <c r="K17" s="815"/>
      <c r="L17" s="813"/>
      <c r="M17" s="802" t="s">
        <v>121</v>
      </c>
      <c r="N17" s="803"/>
      <c r="O17" s="803"/>
      <c r="P17" s="803"/>
      <c r="Q17" s="804"/>
      <c r="R17" s="802" t="s">
        <v>122</v>
      </c>
      <c r="S17" s="803"/>
      <c r="T17" s="803"/>
      <c r="U17" s="803"/>
      <c r="V17" s="817" t="s">
        <v>117</v>
      </c>
      <c r="W17" s="817"/>
      <c r="X17" s="817"/>
      <c r="AB17" s="806"/>
      <c r="AC17" s="806"/>
      <c r="AD17" s="801" t="s">
        <v>137</v>
      </c>
      <c r="AE17" s="801"/>
      <c r="AF17" s="801"/>
      <c r="AG17" s="801"/>
      <c r="AH17" s="801"/>
      <c r="AI17" s="673">
        <v>250</v>
      </c>
      <c r="AJ17" s="673"/>
      <c r="AK17" s="673"/>
      <c r="AL17" s="673">
        <v>226</v>
      </c>
      <c r="AM17" s="673"/>
      <c r="AN17" s="673"/>
      <c r="AO17" s="673"/>
      <c r="AP17" s="674">
        <f t="shared" si="1"/>
        <v>0.90400000000000003</v>
      </c>
      <c r="AQ17" s="674"/>
      <c r="AR17" s="668"/>
    </row>
    <row r="18" spans="2:44" ht="28.5" customHeight="1">
      <c r="B18" s="128" t="s">
        <v>359</v>
      </c>
      <c r="C18" s="780" t="s">
        <v>112</v>
      </c>
      <c r="D18" s="593"/>
      <c r="E18" s="711"/>
      <c r="F18" s="711"/>
      <c r="G18" s="818" t="s">
        <v>363</v>
      </c>
      <c r="H18" s="818"/>
      <c r="I18" s="818"/>
      <c r="J18" s="818"/>
      <c r="K18" s="818"/>
      <c r="L18" s="818"/>
      <c r="M18" s="798" t="s">
        <v>123</v>
      </c>
      <c r="N18" s="798"/>
      <c r="O18" s="798"/>
      <c r="P18" s="798"/>
      <c r="Q18" s="798"/>
      <c r="R18" s="799" t="s">
        <v>124</v>
      </c>
      <c r="S18" s="799"/>
      <c r="T18" s="799"/>
      <c r="U18" s="799"/>
      <c r="V18" s="800" t="s">
        <v>125</v>
      </c>
      <c r="W18" s="800"/>
      <c r="X18" s="800"/>
      <c r="AB18" s="806"/>
      <c r="AC18" s="806"/>
      <c r="AD18" s="801" t="s">
        <v>138</v>
      </c>
      <c r="AE18" s="801"/>
      <c r="AF18" s="801"/>
      <c r="AG18" s="801"/>
      <c r="AH18" s="801"/>
      <c r="AI18" s="673">
        <v>337</v>
      </c>
      <c r="AJ18" s="673"/>
      <c r="AK18" s="673"/>
      <c r="AL18" s="673">
        <v>230</v>
      </c>
      <c r="AM18" s="673"/>
      <c r="AN18" s="673"/>
      <c r="AO18" s="673"/>
      <c r="AP18" s="674">
        <f t="shared" si="1"/>
        <v>0.68249258160237392</v>
      </c>
      <c r="AQ18" s="674"/>
      <c r="AR18" s="668"/>
    </row>
    <row r="19" spans="2:44" ht="25.15" customHeight="1">
      <c r="B19" s="802" t="s">
        <v>9</v>
      </c>
      <c r="C19" s="803"/>
      <c r="D19" s="803"/>
      <c r="E19" s="803"/>
      <c r="F19" s="803"/>
      <c r="G19" s="803"/>
      <c r="H19" s="803"/>
      <c r="I19" s="803"/>
      <c r="J19" s="803"/>
      <c r="K19" s="803"/>
      <c r="L19" s="804"/>
      <c r="M19" s="802" t="s">
        <v>10</v>
      </c>
      <c r="N19" s="803"/>
      <c r="O19" s="803"/>
      <c r="P19" s="803"/>
      <c r="Q19" s="803"/>
      <c r="R19" s="803"/>
      <c r="S19" s="803"/>
      <c r="T19" s="803"/>
      <c r="U19" s="803"/>
      <c r="V19" s="803"/>
      <c r="W19" s="803"/>
      <c r="X19" s="804"/>
      <c r="AB19" s="805">
        <v>2022</v>
      </c>
      <c r="AC19" s="805"/>
      <c r="AD19" s="797" t="s">
        <v>139</v>
      </c>
      <c r="AE19" s="797"/>
      <c r="AF19" s="797"/>
      <c r="AG19" s="797"/>
      <c r="AH19" s="797"/>
      <c r="AI19" s="672">
        <v>178</v>
      </c>
      <c r="AJ19" s="672"/>
      <c r="AK19" s="672"/>
      <c r="AL19" s="672">
        <v>174</v>
      </c>
      <c r="AM19" s="672"/>
      <c r="AN19" s="672"/>
      <c r="AO19" s="672"/>
      <c r="AP19" s="671">
        <f t="shared" si="1"/>
        <v>0.97752808988764039</v>
      </c>
      <c r="AQ19" s="671"/>
      <c r="AR19" s="669" t="e">
        <f t="shared" ref="AR19" si="3">SUM(AP19:AQ22)/4</f>
        <v>#DIV/0!</v>
      </c>
    </row>
    <row r="20" spans="2:44" ht="45.4" customHeight="1">
      <c r="B20" s="780" t="s">
        <v>364</v>
      </c>
      <c r="C20" s="592"/>
      <c r="D20" s="592"/>
      <c r="E20" s="592"/>
      <c r="F20" s="592"/>
      <c r="G20" s="592"/>
      <c r="H20" s="592"/>
      <c r="I20" s="592"/>
      <c r="J20" s="592"/>
      <c r="K20" s="592"/>
      <c r="L20" s="593"/>
      <c r="M20" s="780"/>
      <c r="N20" s="592"/>
      <c r="O20" s="592"/>
      <c r="P20" s="592"/>
      <c r="Q20" s="592"/>
      <c r="R20" s="592"/>
      <c r="S20" s="592"/>
      <c r="T20" s="592"/>
      <c r="U20" s="592"/>
      <c r="V20" s="592"/>
      <c r="W20" s="592"/>
      <c r="X20" s="593"/>
      <c r="AA20" s="98"/>
      <c r="AB20" s="805"/>
      <c r="AC20" s="805"/>
      <c r="AD20" s="797" t="s">
        <v>140</v>
      </c>
      <c r="AE20" s="797"/>
      <c r="AF20" s="797"/>
      <c r="AG20" s="797"/>
      <c r="AH20" s="797"/>
      <c r="AI20" s="672">
        <v>271</v>
      </c>
      <c r="AJ20" s="672"/>
      <c r="AK20" s="672"/>
      <c r="AL20" s="672">
        <v>141</v>
      </c>
      <c r="AM20" s="672"/>
      <c r="AN20" s="672"/>
      <c r="AO20" s="672"/>
      <c r="AP20" s="671">
        <f t="shared" si="1"/>
        <v>0.52029520295202947</v>
      </c>
      <c r="AQ20" s="671"/>
      <c r="AR20" s="669"/>
    </row>
    <row r="21" spans="2:44" ht="18.95" customHeight="1">
      <c r="B21" s="791" t="s">
        <v>11</v>
      </c>
      <c r="C21" s="792"/>
      <c r="D21" s="792"/>
      <c r="E21" s="792"/>
      <c r="F21" s="792"/>
      <c r="G21" s="792"/>
      <c r="H21" s="792"/>
      <c r="I21" s="792"/>
      <c r="J21" s="792"/>
      <c r="K21" s="792"/>
      <c r="L21" s="792"/>
      <c r="M21" s="792"/>
      <c r="N21" s="792"/>
      <c r="O21" s="792"/>
      <c r="P21" s="792"/>
      <c r="Q21" s="792"/>
      <c r="R21" s="792"/>
      <c r="S21" s="792"/>
      <c r="T21" s="792"/>
      <c r="U21" s="792"/>
      <c r="V21" s="792"/>
      <c r="W21" s="792"/>
      <c r="X21" s="793"/>
      <c r="AB21" s="805"/>
      <c r="AC21" s="805"/>
      <c r="AD21" s="797" t="s">
        <v>141</v>
      </c>
      <c r="AE21" s="797"/>
      <c r="AF21" s="797"/>
      <c r="AG21" s="797"/>
      <c r="AH21" s="797"/>
      <c r="AI21" s="672"/>
      <c r="AJ21" s="672"/>
      <c r="AK21" s="672"/>
      <c r="AL21" s="672"/>
      <c r="AM21" s="672"/>
      <c r="AN21" s="672"/>
      <c r="AO21" s="672"/>
      <c r="AP21" s="671" t="e">
        <f t="shared" si="1"/>
        <v>#DIV/0!</v>
      </c>
      <c r="AQ21" s="671"/>
      <c r="AR21" s="669"/>
    </row>
    <row r="22" spans="2:44" ht="18.95" customHeight="1">
      <c r="B22" s="790" t="s">
        <v>12</v>
      </c>
      <c r="C22" s="790"/>
      <c r="D22" s="131" t="s">
        <v>13</v>
      </c>
      <c r="E22" s="131" t="s">
        <v>14</v>
      </c>
      <c r="F22" s="131" t="s">
        <v>15</v>
      </c>
      <c r="G22" s="796" t="s">
        <v>16</v>
      </c>
      <c r="H22" s="796"/>
      <c r="I22" s="796"/>
      <c r="J22" s="131" t="s">
        <v>17</v>
      </c>
      <c r="K22" s="796" t="s">
        <v>18</v>
      </c>
      <c r="L22" s="796"/>
      <c r="M22" s="796"/>
      <c r="N22" s="131" t="s">
        <v>19</v>
      </c>
      <c r="O22" s="796" t="s">
        <v>20</v>
      </c>
      <c r="P22" s="796"/>
      <c r="Q22" s="796" t="s">
        <v>21</v>
      </c>
      <c r="R22" s="796"/>
      <c r="S22" s="796"/>
      <c r="T22" s="796" t="s">
        <v>22</v>
      </c>
      <c r="U22" s="796"/>
      <c r="V22" s="796" t="s">
        <v>23</v>
      </c>
      <c r="W22" s="796"/>
      <c r="X22" s="131" t="s">
        <v>24</v>
      </c>
      <c r="AB22" s="805"/>
      <c r="AC22" s="805"/>
      <c r="AD22" s="797" t="s">
        <v>142</v>
      </c>
      <c r="AE22" s="797"/>
      <c r="AF22" s="797"/>
      <c r="AG22" s="797"/>
      <c r="AH22" s="797"/>
      <c r="AI22" s="672"/>
      <c r="AJ22" s="672"/>
      <c r="AK22" s="672"/>
      <c r="AL22" s="672"/>
      <c r="AM22" s="672"/>
      <c r="AN22" s="672"/>
      <c r="AO22" s="672"/>
      <c r="AP22" s="671" t="e">
        <f t="shared" si="1"/>
        <v>#DIV/0!</v>
      </c>
      <c r="AQ22" s="671"/>
      <c r="AR22" s="669"/>
    </row>
    <row r="23" spans="2:44" ht="18.95" customHeight="1">
      <c r="B23" s="790" t="s">
        <v>25</v>
      </c>
      <c r="C23" s="790"/>
      <c r="D23" s="682">
        <f>AL15</f>
        <v>220</v>
      </c>
      <c r="E23" s="592"/>
      <c r="F23" s="593"/>
      <c r="G23" s="682">
        <f>AL16</f>
        <v>144</v>
      </c>
      <c r="H23" s="715"/>
      <c r="I23" s="715"/>
      <c r="J23" s="715"/>
      <c r="K23" s="715"/>
      <c r="L23" s="715"/>
      <c r="M23" s="716"/>
      <c r="N23" s="682">
        <f>AL17</f>
        <v>226</v>
      </c>
      <c r="O23" s="592"/>
      <c r="P23" s="592"/>
      <c r="Q23" s="592"/>
      <c r="R23" s="592"/>
      <c r="S23" s="593"/>
      <c r="T23" s="682">
        <f>AL18</f>
        <v>230</v>
      </c>
      <c r="U23" s="592"/>
      <c r="V23" s="592"/>
      <c r="W23" s="592"/>
      <c r="X23" s="593"/>
      <c r="Z23" s="52"/>
      <c r="AA23" s="52"/>
    </row>
    <row r="24" spans="2:44" ht="18.95" customHeight="1">
      <c r="B24" s="790" t="s">
        <v>26</v>
      </c>
      <c r="C24" s="790"/>
      <c r="D24" s="682">
        <f>AI15</f>
        <v>216</v>
      </c>
      <c r="E24" s="592"/>
      <c r="F24" s="593"/>
      <c r="G24" s="682">
        <f>AI16</f>
        <v>230</v>
      </c>
      <c r="H24" s="592"/>
      <c r="I24" s="592"/>
      <c r="J24" s="592"/>
      <c r="K24" s="592"/>
      <c r="L24" s="592"/>
      <c r="M24" s="593"/>
      <c r="N24" s="682">
        <f>AI17</f>
        <v>250</v>
      </c>
      <c r="O24" s="592"/>
      <c r="P24" s="592"/>
      <c r="Q24" s="592"/>
      <c r="R24" s="592"/>
      <c r="S24" s="593"/>
      <c r="T24" s="682">
        <f>AI18</f>
        <v>337</v>
      </c>
      <c r="U24" s="592"/>
      <c r="V24" s="592"/>
      <c r="W24" s="592"/>
      <c r="X24" s="593"/>
      <c r="Y24" s="97"/>
    </row>
    <row r="25" spans="2:44" ht="19.7" customHeight="1">
      <c r="B25" s="791" t="s">
        <v>47</v>
      </c>
      <c r="C25" s="792"/>
      <c r="D25" s="792"/>
      <c r="E25" s="792"/>
      <c r="F25" s="792"/>
      <c r="G25" s="792"/>
      <c r="H25" s="792"/>
      <c r="I25" s="792"/>
      <c r="J25" s="792"/>
      <c r="K25" s="792"/>
      <c r="L25" s="792"/>
      <c r="M25" s="792"/>
      <c r="N25" s="792"/>
      <c r="O25" s="792"/>
      <c r="P25" s="792"/>
      <c r="Q25" s="792"/>
      <c r="R25" s="792"/>
      <c r="S25" s="792"/>
      <c r="T25" s="792"/>
      <c r="U25" s="792"/>
      <c r="V25" s="792"/>
      <c r="W25" s="792"/>
      <c r="X25" s="793"/>
    </row>
    <row r="26" spans="2:44" ht="25.5">
      <c r="B26" s="131" t="s">
        <v>27</v>
      </c>
      <c r="C26" s="131" t="s">
        <v>28</v>
      </c>
      <c r="D26" s="131" t="s">
        <v>29</v>
      </c>
      <c r="E26" s="131" t="s">
        <v>30</v>
      </c>
      <c r="F26" s="125"/>
      <c r="G26" s="125"/>
      <c r="H26" s="767"/>
      <c r="I26" s="767"/>
      <c r="J26" s="767"/>
      <c r="K26" s="767"/>
      <c r="L26" s="767"/>
      <c r="M26" s="767"/>
      <c r="N26" s="767"/>
      <c r="O26" s="767"/>
      <c r="P26" s="767"/>
      <c r="Q26" s="767"/>
      <c r="R26" s="767"/>
      <c r="S26" s="795"/>
      <c r="T26" s="795"/>
      <c r="U26" s="795"/>
      <c r="V26" s="795"/>
      <c r="W26" s="795"/>
      <c r="X26" s="768"/>
    </row>
    <row r="27" spans="2:44" ht="17.649999999999999" customHeight="1">
      <c r="B27" s="132" t="s">
        <v>31</v>
      </c>
      <c r="C27" s="686">
        <f>IF(ISERROR($D$23/$D$24),0,$D$23/$D$24)</f>
        <v>1.0185185185185186</v>
      </c>
      <c r="D27" s="686">
        <f>$E$18</f>
        <v>0</v>
      </c>
      <c r="E27" s="122">
        <f>$O$14</f>
        <v>1</v>
      </c>
      <c r="H27" s="794"/>
      <c r="I27" s="794"/>
      <c r="J27" s="761"/>
      <c r="K27" s="761"/>
      <c r="L27" s="104"/>
      <c r="M27" s="104"/>
      <c r="N27" s="794"/>
      <c r="O27" s="794"/>
      <c r="P27" s="794"/>
      <c r="Q27" s="794"/>
      <c r="R27" s="794"/>
      <c r="S27" s="786"/>
      <c r="T27" s="786"/>
      <c r="U27" s="786"/>
      <c r="V27" s="786"/>
      <c r="W27" s="786"/>
      <c r="X27" s="787"/>
    </row>
    <row r="28" spans="2:44" ht="17.649999999999999" customHeight="1">
      <c r="B28" s="132" t="s">
        <v>32</v>
      </c>
      <c r="C28" s="687"/>
      <c r="D28" s="687"/>
      <c r="E28" s="122">
        <f t="shared" ref="E28:E37" si="4">$O$14</f>
        <v>1</v>
      </c>
      <c r="H28" s="761"/>
      <c r="I28" s="761"/>
      <c r="J28" s="761"/>
      <c r="K28" s="761"/>
      <c r="L28" s="12"/>
      <c r="M28" s="104"/>
      <c r="N28" s="761"/>
      <c r="O28" s="761"/>
      <c r="P28" s="761"/>
      <c r="Q28" s="761"/>
      <c r="R28" s="761"/>
      <c r="S28" s="786"/>
      <c r="T28" s="786"/>
      <c r="U28" s="786"/>
      <c r="V28" s="786"/>
      <c r="W28" s="786"/>
      <c r="X28" s="787"/>
    </row>
    <row r="29" spans="2:44" ht="17.649999999999999" customHeight="1">
      <c r="B29" s="132" t="s">
        <v>33</v>
      </c>
      <c r="C29" s="688"/>
      <c r="D29" s="688"/>
      <c r="E29" s="122">
        <f t="shared" si="4"/>
        <v>1</v>
      </c>
      <c r="H29" s="761"/>
      <c r="I29" s="761"/>
      <c r="J29" s="761"/>
      <c r="K29" s="761"/>
      <c r="L29" s="12"/>
      <c r="M29" s="104"/>
      <c r="N29" s="761"/>
      <c r="O29" s="761"/>
      <c r="P29" s="761"/>
      <c r="Q29" s="761"/>
      <c r="R29" s="761"/>
      <c r="S29" s="786"/>
      <c r="T29" s="786"/>
      <c r="U29" s="786"/>
      <c r="V29" s="786"/>
      <c r="W29" s="786"/>
      <c r="X29" s="787"/>
    </row>
    <row r="30" spans="2:44" ht="17.649999999999999" customHeight="1">
      <c r="B30" s="132" t="s">
        <v>34</v>
      </c>
      <c r="C30" s="686">
        <f>IF(ISERROR($G$23/$G$24),0,$G$23/$G$24)</f>
        <v>0.62608695652173918</v>
      </c>
      <c r="D30" s="686">
        <f t="shared" ref="D30:D36" si="5">$E$18</f>
        <v>0</v>
      </c>
      <c r="E30" s="122">
        <f t="shared" si="4"/>
        <v>1</v>
      </c>
      <c r="H30" s="761"/>
      <c r="I30" s="761"/>
      <c r="J30" s="761"/>
      <c r="K30" s="761"/>
      <c r="L30" s="12"/>
      <c r="M30" s="104"/>
      <c r="N30" s="761"/>
      <c r="O30" s="761"/>
      <c r="P30" s="761"/>
      <c r="Q30" s="761"/>
      <c r="R30" s="761"/>
      <c r="S30" s="786"/>
      <c r="T30" s="786"/>
      <c r="U30" s="786"/>
      <c r="V30" s="786"/>
      <c r="W30" s="786"/>
      <c r="X30" s="787"/>
    </row>
    <row r="31" spans="2:44" ht="17.649999999999999" customHeight="1">
      <c r="B31" s="132" t="s">
        <v>35</v>
      </c>
      <c r="C31" s="687"/>
      <c r="D31" s="687"/>
      <c r="E31" s="122">
        <f t="shared" si="4"/>
        <v>1</v>
      </c>
      <c r="H31" s="761"/>
      <c r="I31" s="761"/>
      <c r="J31" s="761"/>
      <c r="K31" s="761"/>
      <c r="L31" s="12"/>
      <c r="M31" s="104"/>
      <c r="N31" s="761"/>
      <c r="O31" s="761"/>
      <c r="P31" s="761"/>
      <c r="Q31" s="761"/>
      <c r="R31" s="761"/>
      <c r="S31" s="786"/>
      <c r="T31" s="786"/>
      <c r="U31" s="786"/>
      <c r="V31" s="786"/>
      <c r="W31" s="786"/>
      <c r="X31" s="787"/>
    </row>
    <row r="32" spans="2:44" ht="17.649999999999999" customHeight="1">
      <c r="B32" s="132" t="s">
        <v>36</v>
      </c>
      <c r="C32" s="688"/>
      <c r="D32" s="688"/>
      <c r="E32" s="122">
        <f t="shared" si="4"/>
        <v>1</v>
      </c>
      <c r="H32" s="761"/>
      <c r="I32" s="761"/>
      <c r="J32" s="761"/>
      <c r="K32" s="761"/>
      <c r="L32" s="12"/>
      <c r="M32" s="104"/>
      <c r="N32" s="761"/>
      <c r="O32" s="761"/>
      <c r="P32" s="761"/>
      <c r="Q32" s="761"/>
      <c r="R32" s="761"/>
      <c r="S32" s="786"/>
      <c r="T32" s="786"/>
      <c r="U32" s="786"/>
      <c r="V32" s="786"/>
      <c r="W32" s="786"/>
      <c r="X32" s="787"/>
    </row>
    <row r="33" spans="2:27" ht="17.649999999999999" customHeight="1">
      <c r="B33" s="132" t="s">
        <v>37</v>
      </c>
      <c r="C33" s="686">
        <f>IF(ISERROR($N$23/$N$24),0,$N$23/$N$24)</f>
        <v>0.90400000000000003</v>
      </c>
      <c r="D33" s="686">
        <f t="shared" si="5"/>
        <v>0</v>
      </c>
      <c r="E33" s="122">
        <f t="shared" si="4"/>
        <v>1</v>
      </c>
      <c r="H33" s="761"/>
      <c r="I33" s="761"/>
      <c r="J33" s="761"/>
      <c r="K33" s="761"/>
      <c r="L33" s="12"/>
      <c r="M33" s="104"/>
      <c r="N33" s="761"/>
      <c r="O33" s="761"/>
      <c r="P33" s="761"/>
      <c r="Q33" s="761"/>
      <c r="R33" s="761"/>
      <c r="S33" s="786"/>
      <c r="T33" s="786"/>
      <c r="U33" s="786"/>
      <c r="V33" s="786"/>
      <c r="W33" s="786"/>
      <c r="X33" s="787"/>
    </row>
    <row r="34" spans="2:27" ht="17.649999999999999" customHeight="1">
      <c r="B34" s="132" t="s">
        <v>38</v>
      </c>
      <c r="C34" s="687"/>
      <c r="D34" s="687"/>
      <c r="E34" s="122">
        <f t="shared" si="4"/>
        <v>1</v>
      </c>
      <c r="H34" s="761"/>
      <c r="I34" s="761"/>
      <c r="J34" s="761"/>
      <c r="K34" s="761"/>
      <c r="L34" s="12"/>
      <c r="M34" s="104"/>
      <c r="N34" s="761"/>
      <c r="O34" s="761"/>
      <c r="P34" s="761"/>
      <c r="Q34" s="761"/>
      <c r="R34" s="761"/>
      <c r="S34" s="786"/>
      <c r="T34" s="786"/>
      <c r="U34" s="786"/>
      <c r="V34" s="786"/>
      <c r="W34" s="786"/>
      <c r="X34" s="787"/>
    </row>
    <row r="35" spans="2:27" ht="17.649999999999999" customHeight="1">
      <c r="B35" s="132" t="s">
        <v>39</v>
      </c>
      <c r="C35" s="688"/>
      <c r="D35" s="688"/>
      <c r="E35" s="122">
        <f t="shared" si="4"/>
        <v>1</v>
      </c>
      <c r="H35" s="761"/>
      <c r="I35" s="761"/>
      <c r="J35" s="761"/>
      <c r="K35" s="761"/>
      <c r="L35" s="12"/>
      <c r="M35" s="104"/>
      <c r="N35" s="761"/>
      <c r="O35" s="761"/>
      <c r="P35" s="761"/>
      <c r="Q35" s="761"/>
      <c r="R35" s="761"/>
      <c r="S35" s="786"/>
      <c r="T35" s="786"/>
      <c r="U35" s="786"/>
      <c r="V35" s="786"/>
      <c r="W35" s="786"/>
      <c r="X35" s="787"/>
    </row>
    <row r="36" spans="2:27" ht="17.649999999999999" customHeight="1">
      <c r="B36" s="132" t="s">
        <v>40</v>
      </c>
      <c r="C36" s="686">
        <f>IF(ISERROR($T$23/$T$24),0,$T$23/$T$24)</f>
        <v>0.68249258160237392</v>
      </c>
      <c r="D36" s="686">
        <f t="shared" si="5"/>
        <v>0</v>
      </c>
      <c r="E36" s="122">
        <f t="shared" si="4"/>
        <v>1</v>
      </c>
      <c r="H36" s="761"/>
      <c r="I36" s="761"/>
      <c r="J36" s="761"/>
      <c r="K36" s="761"/>
      <c r="L36" s="12"/>
      <c r="M36" s="104"/>
      <c r="N36" s="761"/>
      <c r="O36" s="761"/>
      <c r="P36" s="761"/>
      <c r="Q36" s="761"/>
      <c r="R36" s="761"/>
      <c r="S36" s="786"/>
      <c r="T36" s="786"/>
      <c r="U36" s="786"/>
      <c r="V36" s="786"/>
      <c r="W36" s="786"/>
      <c r="X36" s="787"/>
    </row>
    <row r="37" spans="2:27" ht="17.649999999999999" customHeight="1">
      <c r="B37" s="132" t="s">
        <v>41</v>
      </c>
      <c r="C37" s="687"/>
      <c r="D37" s="687"/>
      <c r="E37" s="122">
        <f t="shared" si="4"/>
        <v>1</v>
      </c>
      <c r="H37" s="761"/>
      <c r="I37" s="761"/>
      <c r="J37" s="761"/>
      <c r="K37" s="761"/>
      <c r="L37" s="12"/>
      <c r="M37" s="104"/>
      <c r="N37" s="761"/>
      <c r="O37" s="761"/>
      <c r="P37" s="761"/>
      <c r="Q37" s="761"/>
      <c r="R37" s="761"/>
      <c r="S37" s="786"/>
      <c r="T37" s="786"/>
      <c r="U37" s="786"/>
      <c r="V37" s="786"/>
      <c r="W37" s="786"/>
      <c r="X37" s="787"/>
    </row>
    <row r="38" spans="2:27" ht="17.649999999999999" customHeight="1">
      <c r="B38" s="132" t="s">
        <v>42</v>
      </c>
      <c r="C38" s="688"/>
      <c r="D38" s="688"/>
      <c r="E38" s="122">
        <v>0</v>
      </c>
      <c r="F38" s="127"/>
      <c r="G38" s="127"/>
      <c r="H38" s="775"/>
      <c r="I38" s="775"/>
      <c r="J38" s="775"/>
      <c r="K38" s="775"/>
      <c r="L38" s="7"/>
      <c r="M38" s="106"/>
      <c r="N38" s="775"/>
      <c r="O38" s="775"/>
      <c r="P38" s="775"/>
      <c r="Q38" s="775"/>
      <c r="R38" s="775"/>
      <c r="S38" s="788"/>
      <c r="T38" s="788"/>
      <c r="U38" s="788"/>
      <c r="V38" s="788"/>
      <c r="W38" s="788"/>
      <c r="X38" s="789"/>
    </row>
    <row r="39" spans="2:27" ht="8.4499999999999993" customHeight="1">
      <c r="B39" s="124"/>
      <c r="C39" s="125"/>
      <c r="D39" s="125"/>
      <c r="E39" s="125"/>
      <c r="F39" s="125"/>
      <c r="G39" s="125"/>
      <c r="H39" s="125"/>
      <c r="I39" s="125"/>
      <c r="J39" s="125"/>
      <c r="K39" s="125"/>
      <c r="L39" s="125"/>
      <c r="M39" s="125"/>
      <c r="N39" s="125"/>
      <c r="O39" s="125"/>
      <c r="P39" s="125"/>
      <c r="Q39" s="125"/>
      <c r="R39" s="125"/>
      <c r="S39" s="125"/>
      <c r="T39" s="125"/>
      <c r="U39" s="125"/>
      <c r="V39" s="125"/>
      <c r="W39" s="125"/>
      <c r="X39" s="126"/>
    </row>
    <row r="40" spans="2:27" ht="15.75" customHeight="1">
      <c r="B40" s="762" t="s">
        <v>50</v>
      </c>
      <c r="C40" s="763"/>
      <c r="D40" s="763"/>
      <c r="E40" s="763"/>
      <c r="F40" s="763"/>
      <c r="G40" s="763"/>
      <c r="H40" s="763"/>
      <c r="I40" s="763"/>
      <c r="J40" s="763"/>
      <c r="K40" s="763"/>
      <c r="L40" s="763"/>
      <c r="M40" s="763"/>
      <c r="N40" s="763"/>
      <c r="O40" s="763"/>
      <c r="P40" s="763"/>
      <c r="Q40" s="763"/>
      <c r="R40" s="763"/>
      <c r="S40" s="763"/>
      <c r="T40" s="763"/>
      <c r="U40" s="763"/>
      <c r="V40" s="763"/>
      <c r="W40" s="763"/>
      <c r="X40" s="764"/>
    </row>
    <row r="41" spans="2:27" ht="33" customHeight="1">
      <c r="B41" s="765" t="s">
        <v>365</v>
      </c>
      <c r="C41" s="765"/>
      <c r="D41" s="765"/>
      <c r="E41" s="765"/>
      <c r="F41" s="765"/>
      <c r="G41" s="765"/>
      <c r="H41" s="765"/>
      <c r="I41" s="765"/>
      <c r="J41" s="765"/>
      <c r="K41" s="765"/>
      <c r="L41" s="765"/>
      <c r="M41" s="765"/>
      <c r="N41" s="765"/>
      <c r="O41" s="765"/>
      <c r="P41" s="765"/>
      <c r="Q41" s="765"/>
      <c r="R41" s="765"/>
      <c r="S41" s="765"/>
      <c r="T41" s="765"/>
      <c r="U41" s="765"/>
      <c r="V41" s="765"/>
      <c r="W41" s="765"/>
      <c r="X41" s="765"/>
      <c r="Y41" s="109"/>
      <c r="Z41" s="110"/>
      <c r="AA41" s="110"/>
    </row>
    <row r="42" spans="2:27" ht="10.5" customHeight="1">
      <c r="B42" s="766"/>
      <c r="C42" s="767"/>
      <c r="D42" s="767"/>
      <c r="E42" s="767"/>
      <c r="F42" s="767"/>
      <c r="G42" s="767"/>
      <c r="H42" s="767"/>
      <c r="I42" s="767"/>
      <c r="J42" s="767"/>
      <c r="K42" s="767"/>
      <c r="L42" s="767"/>
      <c r="M42" s="767"/>
      <c r="N42" s="767"/>
      <c r="O42" s="767"/>
      <c r="P42" s="767"/>
      <c r="Q42" s="767"/>
      <c r="R42" s="767"/>
      <c r="S42" s="767"/>
      <c r="T42" s="767"/>
      <c r="U42" s="767"/>
      <c r="V42" s="767"/>
      <c r="W42" s="767"/>
      <c r="X42" s="768"/>
      <c r="Y42" s="111"/>
      <c r="Z42" s="57"/>
      <c r="AA42" s="58"/>
    </row>
    <row r="43" spans="2:27" ht="18" customHeight="1">
      <c r="B43" s="769" t="s">
        <v>43</v>
      </c>
      <c r="C43" s="770"/>
      <c r="D43" s="770"/>
      <c r="E43" s="770"/>
      <c r="F43" s="770"/>
      <c r="G43" s="770"/>
      <c r="H43" s="770"/>
      <c r="I43" s="770"/>
      <c r="J43" s="770"/>
      <c r="K43" s="770"/>
      <c r="L43" s="770"/>
      <c r="M43" s="770"/>
      <c r="N43" s="770"/>
      <c r="O43" s="770"/>
      <c r="P43" s="770"/>
      <c r="Q43" s="770"/>
      <c r="R43" s="770"/>
      <c r="S43" s="770"/>
      <c r="T43" s="770"/>
      <c r="U43" s="770"/>
      <c r="V43" s="770"/>
      <c r="W43" s="770"/>
      <c r="X43" s="771"/>
      <c r="Y43" s="111"/>
      <c r="Z43" s="57"/>
      <c r="AA43" s="58"/>
    </row>
    <row r="44" spans="2:27" ht="32.25" customHeight="1">
      <c r="B44" s="772"/>
      <c r="C44" s="773"/>
      <c r="D44" s="773"/>
      <c r="E44" s="773"/>
      <c r="F44" s="773"/>
      <c r="G44" s="773"/>
      <c r="H44" s="773"/>
      <c r="I44" s="773"/>
      <c r="J44" s="773"/>
      <c r="K44" s="773"/>
      <c r="L44" s="773"/>
      <c r="M44" s="773"/>
      <c r="N44" s="773"/>
      <c r="O44" s="773"/>
      <c r="P44" s="773"/>
      <c r="Q44" s="773"/>
      <c r="R44" s="773"/>
      <c r="S44" s="773"/>
      <c r="T44" s="773"/>
      <c r="U44" s="773"/>
      <c r="V44" s="773"/>
      <c r="W44" s="773"/>
      <c r="X44" s="774"/>
      <c r="Y44" s="111"/>
      <c r="Z44" s="57"/>
      <c r="AA44" s="58"/>
    </row>
    <row r="45" spans="2:27" ht="8.4499999999999993" customHeight="1">
      <c r="B45" s="124"/>
      <c r="C45" s="125"/>
      <c r="D45" s="125"/>
      <c r="E45" s="125"/>
      <c r="F45" s="125"/>
      <c r="G45" s="767"/>
      <c r="H45" s="767"/>
      <c r="I45" s="767"/>
      <c r="J45" s="767"/>
      <c r="K45" s="767"/>
      <c r="L45" s="767"/>
      <c r="M45" s="125"/>
      <c r="N45" s="125"/>
      <c r="O45" s="125"/>
      <c r="P45" s="125"/>
      <c r="Q45" s="125"/>
      <c r="R45" s="125"/>
      <c r="S45" s="125"/>
      <c r="T45" s="125"/>
      <c r="U45" s="125"/>
      <c r="V45" s="125"/>
      <c r="W45" s="125"/>
      <c r="X45" s="126"/>
      <c r="Y45" s="111"/>
      <c r="Z45" s="57"/>
      <c r="AA45" s="58"/>
    </row>
    <row r="46" spans="2:27" ht="12.75">
      <c r="B46" s="776" t="s">
        <v>44</v>
      </c>
      <c r="C46" s="777"/>
      <c r="D46" s="777"/>
      <c r="E46" s="777"/>
      <c r="F46" s="777"/>
      <c r="G46" s="777"/>
      <c r="H46" s="777"/>
      <c r="J46" s="112" t="s">
        <v>45</v>
      </c>
      <c r="L46" s="778" t="s">
        <v>199</v>
      </c>
      <c r="M46" s="779"/>
      <c r="O46" s="104" t="s">
        <v>46</v>
      </c>
      <c r="Q46" s="780"/>
      <c r="R46" s="593"/>
      <c r="X46" s="129"/>
      <c r="Y46" s="111"/>
      <c r="Z46" s="57"/>
      <c r="AA46" s="58"/>
    </row>
    <row r="47" spans="2:27" ht="8.4499999999999993" customHeight="1">
      <c r="B47" s="114"/>
      <c r="I47" s="781"/>
      <c r="J47" s="781"/>
      <c r="K47" s="781"/>
      <c r="L47" s="781"/>
      <c r="M47" s="781"/>
      <c r="N47" s="781"/>
      <c r="O47" s="781"/>
      <c r="P47" s="781"/>
      <c r="Q47" s="781"/>
      <c r="R47" s="781"/>
      <c r="S47" s="781"/>
      <c r="T47" s="781"/>
      <c r="U47" s="781"/>
      <c r="V47" s="781"/>
      <c r="W47" s="781"/>
      <c r="X47" s="782"/>
      <c r="Y47" s="111"/>
      <c r="Z47" s="57"/>
      <c r="AA47" s="58"/>
    </row>
    <row r="48" spans="2:27" ht="35.25" customHeight="1">
      <c r="B48" s="783" t="s">
        <v>57</v>
      </c>
      <c r="C48" s="784"/>
      <c r="D48" s="784"/>
      <c r="E48" s="784"/>
      <c r="F48" s="784"/>
      <c r="G48" s="784"/>
      <c r="H48" s="784"/>
      <c r="I48" s="784"/>
      <c r="J48" s="784"/>
      <c r="K48" s="784"/>
      <c r="L48" s="784"/>
      <c r="M48" s="784"/>
      <c r="N48" s="784"/>
      <c r="O48" s="784"/>
      <c r="P48" s="784"/>
      <c r="Q48" s="784"/>
      <c r="R48" s="784"/>
      <c r="S48" s="784"/>
      <c r="T48" s="784"/>
      <c r="U48" s="784"/>
      <c r="V48" s="784"/>
      <c r="W48" s="784"/>
      <c r="X48" s="785"/>
      <c r="Y48" s="111"/>
      <c r="Z48" s="57"/>
      <c r="AA48" s="58"/>
    </row>
    <row r="49" spans="2:27" ht="8.4499999999999993" customHeight="1">
      <c r="B49" s="115"/>
      <c r="C49" s="127"/>
      <c r="D49" s="127"/>
      <c r="E49" s="127"/>
      <c r="F49" s="127"/>
      <c r="G49" s="133"/>
      <c r="H49" s="127"/>
      <c r="I49" s="16"/>
      <c r="J49" s="35"/>
      <c r="K49" s="7"/>
      <c r="L49" s="127"/>
      <c r="M49" s="127"/>
      <c r="N49" s="127"/>
      <c r="O49" s="127"/>
      <c r="P49" s="127"/>
      <c r="Q49" s="127"/>
      <c r="R49" s="127"/>
      <c r="S49" s="127"/>
      <c r="T49" s="127"/>
      <c r="U49" s="127"/>
      <c r="V49" s="127"/>
      <c r="W49" s="127"/>
      <c r="X49" s="130"/>
      <c r="Y49" s="111"/>
      <c r="Z49" s="57"/>
      <c r="AA49" s="58"/>
    </row>
    <row r="50" spans="2:27" ht="13.5" customHeight="1">
      <c r="G50" s="761"/>
      <c r="H50" s="761"/>
      <c r="I50" s="761"/>
      <c r="J50" s="761"/>
      <c r="K50" s="761"/>
      <c r="L50" s="761"/>
      <c r="M50" s="761"/>
      <c r="N50" s="761"/>
      <c r="O50" s="761"/>
      <c r="P50" s="761"/>
      <c r="Q50" s="761"/>
      <c r="R50" s="761"/>
      <c r="S50" s="761"/>
      <c r="T50" s="761"/>
      <c r="U50" s="761"/>
      <c r="V50" s="761"/>
      <c r="W50" s="761"/>
      <c r="X50" s="761"/>
      <c r="Y50" s="111"/>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8">
    <tabColor theme="4"/>
    <pageSetUpPr fitToPage="1"/>
  </sheetPr>
  <dimension ref="B1:AR50"/>
  <sheetViews>
    <sheetView zoomScale="80" zoomScaleNormal="80" zoomScaleSheetLayoutView="100" workbookViewId="0">
      <selection activeCell="AL26" sqref="AL2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82">
        <v>7517598062.0200005</v>
      </c>
      <c r="AJ7" s="882"/>
      <c r="AK7" s="882"/>
      <c r="AL7" s="882">
        <v>7348511239.5200005</v>
      </c>
      <c r="AM7" s="882"/>
      <c r="AN7" s="882"/>
      <c r="AO7" s="882"/>
      <c r="AP7" s="705"/>
      <c r="AQ7" s="706"/>
      <c r="AR7" s="668"/>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82">
        <v>7848499566.3699999</v>
      </c>
      <c r="AJ8" s="882"/>
      <c r="AK8" s="882"/>
      <c r="AL8" s="882">
        <v>7690906316.8000002</v>
      </c>
      <c r="AM8" s="882"/>
      <c r="AN8" s="882"/>
      <c r="AO8" s="882"/>
      <c r="AP8" s="705"/>
      <c r="AQ8" s="706"/>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82">
        <v>7801662662.4200001</v>
      </c>
      <c r="AJ9" s="882"/>
      <c r="AK9" s="882"/>
      <c r="AL9" s="882">
        <v>7757100219.5500002</v>
      </c>
      <c r="AM9" s="882"/>
      <c r="AN9" s="882"/>
      <c r="AO9" s="882"/>
      <c r="AP9" s="705"/>
      <c r="AQ9" s="706"/>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82">
        <v>7954242735.6999998</v>
      </c>
      <c r="AJ10" s="882"/>
      <c r="AK10" s="882"/>
      <c r="AL10" s="882">
        <v>7923427196</v>
      </c>
      <c r="AM10" s="882"/>
      <c r="AN10" s="882"/>
      <c r="AO10" s="882"/>
      <c r="AP10" s="705"/>
      <c r="AQ10" s="706"/>
      <c r="AR10" s="668"/>
    </row>
    <row r="11" spans="2:44" ht="38.25" customHeight="1">
      <c r="B11" s="640" t="s">
        <v>175</v>
      </c>
      <c r="C11" s="640"/>
      <c r="D11" s="640"/>
      <c r="E11" s="640"/>
      <c r="F11" s="640"/>
      <c r="G11" s="640"/>
      <c r="H11" s="640"/>
      <c r="I11" s="640"/>
      <c r="J11" s="640"/>
      <c r="K11" s="640"/>
      <c r="L11" s="640"/>
      <c r="M11" s="640"/>
      <c r="N11" s="640"/>
      <c r="O11" s="640"/>
      <c r="P11" s="640"/>
      <c r="Q11" s="640"/>
      <c r="R11" s="640"/>
      <c r="S11" s="640"/>
      <c r="T11" s="640"/>
      <c r="U11" s="640"/>
      <c r="V11" s="640"/>
      <c r="W11" s="640"/>
      <c r="X11" s="640"/>
      <c r="AB11" s="971">
        <v>2020</v>
      </c>
      <c r="AC11" s="971"/>
      <c r="AD11" s="972" t="s">
        <v>131</v>
      </c>
      <c r="AE11" s="972"/>
      <c r="AF11" s="972"/>
      <c r="AG11" s="972"/>
      <c r="AH11" s="972"/>
      <c r="AI11" s="956">
        <v>3240896842</v>
      </c>
      <c r="AJ11" s="957"/>
      <c r="AK11" s="958"/>
      <c r="AL11" s="956">
        <v>2864631255</v>
      </c>
      <c r="AM11" s="957"/>
      <c r="AN11" s="957"/>
      <c r="AO11" s="958"/>
      <c r="AP11" s="965"/>
      <c r="AQ11" s="966"/>
      <c r="AR11" s="955"/>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971"/>
      <c r="AC12" s="971"/>
      <c r="AD12" s="972" t="s">
        <v>132</v>
      </c>
      <c r="AE12" s="972"/>
      <c r="AF12" s="972"/>
      <c r="AG12" s="972"/>
      <c r="AH12" s="972"/>
      <c r="AI12" s="959"/>
      <c r="AJ12" s="960"/>
      <c r="AK12" s="961"/>
      <c r="AL12" s="959"/>
      <c r="AM12" s="960"/>
      <c r="AN12" s="960"/>
      <c r="AO12" s="961"/>
      <c r="AP12" s="967"/>
      <c r="AQ12" s="968"/>
      <c r="AR12" s="955"/>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971"/>
      <c r="AC13" s="971"/>
      <c r="AD13" s="972" t="s">
        <v>133</v>
      </c>
      <c r="AE13" s="972"/>
      <c r="AF13" s="972"/>
      <c r="AG13" s="972"/>
      <c r="AH13" s="972"/>
      <c r="AI13" s="959"/>
      <c r="AJ13" s="960"/>
      <c r="AK13" s="961"/>
      <c r="AL13" s="959"/>
      <c r="AM13" s="960"/>
      <c r="AN13" s="960"/>
      <c r="AO13" s="961"/>
      <c r="AP13" s="967"/>
      <c r="AQ13" s="968"/>
      <c r="AR13" s="955"/>
    </row>
    <row r="14" spans="2:44" ht="59.25" customHeight="1">
      <c r="B14" s="632" t="s">
        <v>340</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971"/>
      <c r="AC14" s="971"/>
      <c r="AD14" s="972" t="s">
        <v>134</v>
      </c>
      <c r="AE14" s="972"/>
      <c r="AF14" s="972"/>
      <c r="AG14" s="972"/>
      <c r="AH14" s="972"/>
      <c r="AI14" s="962"/>
      <c r="AJ14" s="963"/>
      <c r="AK14" s="964"/>
      <c r="AL14" s="962"/>
      <c r="AM14" s="963"/>
      <c r="AN14" s="963"/>
      <c r="AO14" s="964"/>
      <c r="AP14" s="969"/>
      <c r="AQ14" s="970"/>
      <c r="AR14" s="955"/>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86">
        <v>3714188237</v>
      </c>
      <c r="AJ15" s="887"/>
      <c r="AK15" s="888"/>
      <c r="AL15" s="886">
        <v>2892408154</v>
      </c>
      <c r="AM15" s="887"/>
      <c r="AN15" s="887"/>
      <c r="AO15" s="888"/>
      <c r="AP15" s="705"/>
      <c r="AQ15" s="706"/>
      <c r="AR15" s="668"/>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89"/>
      <c r="AJ16" s="890"/>
      <c r="AK16" s="891"/>
      <c r="AL16" s="889"/>
      <c r="AM16" s="890"/>
      <c r="AN16" s="890"/>
      <c r="AO16" s="891"/>
      <c r="AP16" s="707"/>
      <c r="AQ16" s="708"/>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89"/>
      <c r="AJ17" s="890"/>
      <c r="AK17" s="891"/>
      <c r="AL17" s="889"/>
      <c r="AM17" s="890"/>
      <c r="AN17" s="890"/>
      <c r="AO17" s="891"/>
      <c r="AP17" s="707"/>
      <c r="AQ17" s="708"/>
      <c r="AR17" s="668"/>
    </row>
    <row r="18" spans="2:44" ht="28.5" customHeight="1">
      <c r="B18" s="43" t="s">
        <v>341</v>
      </c>
      <c r="C18" s="607" t="s">
        <v>114</v>
      </c>
      <c r="D18" s="608"/>
      <c r="E18" s="644">
        <v>1</v>
      </c>
      <c r="F18" s="644"/>
      <c r="G18" s="632" t="s">
        <v>342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92"/>
      <c r="AJ18" s="893"/>
      <c r="AK18" s="894"/>
      <c r="AL18" s="892"/>
      <c r="AM18" s="893"/>
      <c r="AN18" s="893"/>
      <c r="AO18" s="894"/>
      <c r="AP18" s="709"/>
      <c r="AQ18" s="710"/>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95">
        <v>3800000000</v>
      </c>
      <c r="AJ19" s="896"/>
      <c r="AK19" s="897"/>
      <c r="AL19" s="895">
        <v>3051533778</v>
      </c>
      <c r="AM19" s="896"/>
      <c r="AN19" s="896"/>
      <c r="AO19" s="897"/>
      <c r="AP19" s="751"/>
      <c r="AQ19" s="752"/>
      <c r="AR19" s="669"/>
    </row>
    <row r="20" spans="2:44" ht="45.4" customHeight="1">
      <c r="B20" s="607" t="s">
        <v>343</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98"/>
      <c r="AJ20" s="899"/>
      <c r="AK20" s="900"/>
      <c r="AL20" s="898"/>
      <c r="AM20" s="899"/>
      <c r="AN20" s="899"/>
      <c r="AO20" s="900"/>
      <c r="AP20" s="753"/>
      <c r="AQ20" s="754"/>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98"/>
      <c r="AJ21" s="899"/>
      <c r="AK21" s="900"/>
      <c r="AL21" s="898"/>
      <c r="AM21" s="899"/>
      <c r="AN21" s="899"/>
      <c r="AO21" s="900"/>
      <c r="AP21" s="753"/>
      <c r="AQ21" s="754"/>
      <c r="AR21" s="669"/>
    </row>
    <row r="22" spans="2:44" ht="18.95" customHeight="1">
      <c r="B22" s="633" t="s">
        <v>12</v>
      </c>
      <c r="C22" s="633"/>
      <c r="D22" s="44" t="s">
        <v>13</v>
      </c>
      <c r="E22" s="44" t="s">
        <v>14</v>
      </c>
      <c r="F22" s="44" t="s">
        <v>15</v>
      </c>
      <c r="G22" s="641" t="s">
        <v>16</v>
      </c>
      <c r="H22" s="641"/>
      <c r="I22" s="641"/>
      <c r="J22" s="44" t="s">
        <v>17</v>
      </c>
      <c r="K22" s="641" t="s">
        <v>18</v>
      </c>
      <c r="L22" s="641"/>
      <c r="M22" s="641"/>
      <c r="N22" s="44" t="s">
        <v>19</v>
      </c>
      <c r="O22" s="641" t="s">
        <v>20</v>
      </c>
      <c r="P22" s="641"/>
      <c r="Q22" s="641" t="s">
        <v>21</v>
      </c>
      <c r="R22" s="641"/>
      <c r="S22" s="641"/>
      <c r="T22" s="641" t="s">
        <v>22</v>
      </c>
      <c r="U22" s="641"/>
      <c r="V22" s="641" t="s">
        <v>23</v>
      </c>
      <c r="W22" s="641"/>
      <c r="X22" s="44" t="s">
        <v>24</v>
      </c>
      <c r="AB22" s="679"/>
      <c r="AC22" s="679"/>
      <c r="AD22" s="681" t="s">
        <v>142</v>
      </c>
      <c r="AE22" s="681"/>
      <c r="AF22" s="681"/>
      <c r="AG22" s="681"/>
      <c r="AH22" s="681"/>
      <c r="AI22" s="901"/>
      <c r="AJ22" s="902"/>
      <c r="AK22" s="903"/>
      <c r="AL22" s="901"/>
      <c r="AM22" s="902"/>
      <c r="AN22" s="902"/>
      <c r="AO22" s="903"/>
      <c r="AP22" s="755"/>
      <c r="AQ22" s="756"/>
      <c r="AR22" s="669"/>
    </row>
    <row r="23" spans="2:44" ht="18.95" customHeight="1">
      <c r="B23" s="633" t="s">
        <v>25</v>
      </c>
      <c r="C23" s="633"/>
      <c r="D23" s="859">
        <f>AL15</f>
        <v>2892408154</v>
      </c>
      <c r="E23" s="860"/>
      <c r="F23" s="860"/>
      <c r="G23" s="860"/>
      <c r="H23" s="860"/>
      <c r="I23" s="860"/>
      <c r="J23" s="860"/>
      <c r="K23" s="860"/>
      <c r="L23" s="860"/>
      <c r="M23" s="860"/>
      <c r="N23" s="860"/>
      <c r="O23" s="860"/>
      <c r="P23" s="860"/>
      <c r="Q23" s="860"/>
      <c r="R23" s="860"/>
      <c r="S23" s="860"/>
      <c r="T23" s="860"/>
      <c r="U23" s="860"/>
      <c r="V23" s="860"/>
      <c r="W23" s="860"/>
      <c r="X23" s="861"/>
      <c r="Z23" s="52"/>
      <c r="AA23" s="52"/>
    </row>
    <row r="24" spans="2:44" ht="18.95" customHeight="1">
      <c r="B24" s="633" t="s">
        <v>26</v>
      </c>
      <c r="C24" s="633"/>
      <c r="D24" s="859">
        <f>AI15</f>
        <v>3714188237</v>
      </c>
      <c r="E24" s="860"/>
      <c r="F24" s="860"/>
      <c r="G24" s="860"/>
      <c r="H24" s="860"/>
      <c r="I24" s="860"/>
      <c r="J24" s="860"/>
      <c r="K24" s="860"/>
      <c r="L24" s="860"/>
      <c r="M24" s="860"/>
      <c r="N24" s="860"/>
      <c r="O24" s="860"/>
      <c r="P24" s="860"/>
      <c r="Q24" s="860"/>
      <c r="R24" s="860"/>
      <c r="S24" s="860"/>
      <c r="T24" s="860"/>
      <c r="U24" s="860"/>
      <c r="V24" s="860"/>
      <c r="W24" s="860"/>
      <c r="X24" s="861"/>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44" t="s">
        <v>27</v>
      </c>
      <c r="C26" s="44" t="s">
        <v>28</v>
      </c>
      <c r="D26" s="44" t="s">
        <v>29</v>
      </c>
      <c r="E26" s="44"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3" t="s">
        <v>31</v>
      </c>
      <c r="C27" s="4">
        <f>IF(ISERROR($D$23/$D$24),0,$D$23/$D$24)</f>
        <v>0.77874570954331523</v>
      </c>
      <c r="D27" s="686">
        <f t="shared" ref="D27" si="0">$E$18</f>
        <v>1</v>
      </c>
      <c r="E27" s="4">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3" t="s">
        <v>32</v>
      </c>
      <c r="C28" s="4">
        <f>IF(ISERROR($E$23/$E$24),0,$E$23/$E$24)</f>
        <v>0</v>
      </c>
      <c r="D28" s="687"/>
      <c r="E28" s="4">
        <f t="shared" ref="E28:E37" si="1">$O$14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3" t="s">
        <v>33</v>
      </c>
      <c r="C29" s="4">
        <f>IF(ISERROR($F$23/$F$24),0,$F$23/$F$24)</f>
        <v>0</v>
      </c>
      <c r="D29" s="687"/>
      <c r="E29" s="4">
        <f t="shared" si="1"/>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3" t="s">
        <v>34</v>
      </c>
      <c r="C30" s="4">
        <f>IF(ISERROR($G$23/$G$24),0,$G$23/$G$24)</f>
        <v>0</v>
      </c>
      <c r="D30" s="687"/>
      <c r="E30" s="4">
        <f t="shared" si="1"/>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3" t="s">
        <v>35</v>
      </c>
      <c r="C31" s="4">
        <f>IF(ISERROR($J$23/$J$24),0,$J$23/$J$24)</f>
        <v>0</v>
      </c>
      <c r="D31" s="687"/>
      <c r="E31" s="4">
        <f t="shared" si="1"/>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3" t="s">
        <v>36</v>
      </c>
      <c r="C32" s="4">
        <f>IF(ISERROR($K$23/$K$24),0,$K$23/$K$24)</f>
        <v>0</v>
      </c>
      <c r="D32" s="687"/>
      <c r="E32" s="4">
        <f t="shared" si="1"/>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3" t="s">
        <v>37</v>
      </c>
      <c r="C33" s="4">
        <f>IF(ISERROR($N$23/$N$24),0,$N$23/$N$24)</f>
        <v>0</v>
      </c>
      <c r="D33" s="687"/>
      <c r="E33" s="4">
        <f t="shared" si="1"/>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3" t="s">
        <v>38</v>
      </c>
      <c r="C34" s="4">
        <f>IF(ISERROR($O$23/$O$24),0,$O$23/$O$24)</f>
        <v>0</v>
      </c>
      <c r="D34" s="687"/>
      <c r="E34" s="4">
        <f t="shared" si="1"/>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3" t="s">
        <v>39</v>
      </c>
      <c r="C35" s="4">
        <f>IF(ISERROR($Q$23/$Q$24),0,$Q$23/$Q$24)</f>
        <v>0</v>
      </c>
      <c r="D35" s="687"/>
      <c r="E35" s="4">
        <f t="shared" si="1"/>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3" t="s">
        <v>40</v>
      </c>
      <c r="C36" s="4">
        <f>IF(ISERROR($T$23/$T$24),0,$T$23/$T$24)</f>
        <v>0</v>
      </c>
      <c r="D36" s="687"/>
      <c r="E36" s="4">
        <f t="shared" si="1"/>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3" t="s">
        <v>41</v>
      </c>
      <c r="C37" s="4">
        <f>IF(ISERROR($V$23/$V$24),0,$V$23/$V$24)</f>
        <v>0</v>
      </c>
      <c r="D37" s="687"/>
      <c r="E37" s="4">
        <f t="shared" si="1"/>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3" t="s">
        <v>42</v>
      </c>
      <c r="C38" s="4">
        <v>0</v>
      </c>
      <c r="D38" s="688"/>
      <c r="E38" s="4">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t="s">
        <v>344</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81">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P31:R31"/>
    <mergeCell ref="N28:O28"/>
    <mergeCell ref="P28:R28"/>
    <mergeCell ref="H29:I29"/>
    <mergeCell ref="J29:K29"/>
    <mergeCell ref="N29:O29"/>
    <mergeCell ref="P29:R29"/>
    <mergeCell ref="B24:C24"/>
    <mergeCell ref="B23:C23"/>
    <mergeCell ref="D23:X23"/>
    <mergeCell ref="D24:X24"/>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D27:D38"/>
    <mergeCell ref="H34:I34"/>
    <mergeCell ref="J34:K34"/>
    <mergeCell ref="N34:O34"/>
    <mergeCell ref="P34:R34"/>
    <mergeCell ref="H35:I35"/>
    <mergeCell ref="J35:K35"/>
    <mergeCell ref="N35:O35"/>
    <mergeCell ref="P35:R35"/>
    <mergeCell ref="H32:I32"/>
    <mergeCell ref="B46:H46"/>
    <mergeCell ref="L46:M46"/>
    <mergeCell ref="Q46:R46"/>
    <mergeCell ref="I47:X47"/>
    <mergeCell ref="B48:X48"/>
    <mergeCell ref="G50:H50"/>
    <mergeCell ref="I50:X50"/>
    <mergeCell ref="B42:X42"/>
    <mergeCell ref="B43:X43"/>
    <mergeCell ref="B44:X44"/>
    <mergeCell ref="G45:H45"/>
    <mergeCell ref="I45:J45"/>
    <mergeCell ref="K45:L45"/>
    <mergeCell ref="AR7:AR10"/>
    <mergeCell ref="AR11:AR14"/>
    <mergeCell ref="AR15:AR18"/>
    <mergeCell ref="AR19:AR22"/>
    <mergeCell ref="AI11:AK14"/>
    <mergeCell ref="AL11:AO14"/>
    <mergeCell ref="AP11:AQ14"/>
    <mergeCell ref="AI19:AK22"/>
    <mergeCell ref="AL19:AO22"/>
    <mergeCell ref="AP19:AQ22"/>
    <mergeCell ref="AP7:AQ7"/>
    <mergeCell ref="AI15:AK18"/>
    <mergeCell ref="AL15:AO18"/>
    <mergeCell ref="AP15:AQ1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9">
    <tabColor theme="4"/>
    <pageSetUpPr fitToPage="1"/>
  </sheetPr>
  <dimension ref="B1:AR50"/>
  <sheetViews>
    <sheetView zoomScale="80" zoomScaleNormal="80" zoomScaleSheetLayoutView="100" workbookViewId="0">
      <selection activeCell="AD22" sqref="AD22:AH2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29" width="4.625" style="46"/>
    <col min="30" max="34" width="4.25" style="46" customWidth="1"/>
    <col min="35" max="37" width="6.125" style="46" customWidth="1"/>
    <col min="38" max="41" width="4.75" style="46" customWidth="1"/>
    <col min="42" max="42" width="12.75" style="23" customWidth="1"/>
    <col min="43"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8"/>
    </row>
    <row r="7" spans="2:44" ht="14.25" customHeight="1">
      <c r="B7" s="645" t="s">
        <v>76</v>
      </c>
      <c r="C7" s="646"/>
      <c r="D7" s="646"/>
      <c r="E7" s="646"/>
      <c r="F7" s="647"/>
      <c r="G7" s="651" t="s">
        <v>88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86">
        <v>3519000000</v>
      </c>
      <c r="AJ7" s="887"/>
      <c r="AK7" s="888"/>
      <c r="AL7" s="886">
        <v>3517503588</v>
      </c>
      <c r="AM7" s="887"/>
      <c r="AN7" s="887"/>
      <c r="AO7" s="888"/>
      <c r="AP7" s="668"/>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89"/>
      <c r="AJ8" s="890"/>
      <c r="AK8" s="891"/>
      <c r="AL8" s="889"/>
      <c r="AM8" s="890"/>
      <c r="AN8" s="890"/>
      <c r="AO8" s="891"/>
      <c r="AP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89"/>
      <c r="AJ9" s="890"/>
      <c r="AK9" s="891"/>
      <c r="AL9" s="889"/>
      <c r="AM9" s="890"/>
      <c r="AN9" s="890"/>
      <c r="AO9" s="891"/>
      <c r="AP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92"/>
      <c r="AJ10" s="893"/>
      <c r="AK10" s="894"/>
      <c r="AL10" s="892"/>
      <c r="AM10" s="893"/>
      <c r="AN10" s="893"/>
      <c r="AO10" s="894"/>
      <c r="AP10" s="668"/>
    </row>
    <row r="11" spans="2:44" ht="38.25" customHeight="1">
      <c r="B11" s="640" t="s">
        <v>176</v>
      </c>
      <c r="C11" s="640"/>
      <c r="D11" s="640"/>
      <c r="E11" s="640"/>
      <c r="F11" s="640"/>
      <c r="G11" s="640"/>
      <c r="H11" s="640"/>
      <c r="I11" s="640"/>
      <c r="J11" s="640"/>
      <c r="K11" s="640"/>
      <c r="L11" s="640"/>
      <c r="M11" s="640"/>
      <c r="N11" s="640"/>
      <c r="O11" s="640"/>
      <c r="P11" s="640"/>
      <c r="Q11" s="640"/>
      <c r="R11" s="640"/>
      <c r="S11" s="640"/>
      <c r="T11" s="640"/>
      <c r="U11" s="640"/>
      <c r="V11" s="640"/>
      <c r="W11" s="640"/>
      <c r="X11" s="640"/>
      <c r="AB11" s="971">
        <v>2020</v>
      </c>
      <c r="AC11" s="971"/>
      <c r="AD11" s="972" t="s">
        <v>131</v>
      </c>
      <c r="AE11" s="972"/>
      <c r="AF11" s="972"/>
      <c r="AG11" s="972"/>
      <c r="AH11" s="972"/>
      <c r="AI11" s="956">
        <v>3240896842</v>
      </c>
      <c r="AJ11" s="957"/>
      <c r="AK11" s="958"/>
      <c r="AL11" s="956">
        <v>2864631255</v>
      </c>
      <c r="AM11" s="957"/>
      <c r="AN11" s="957"/>
      <c r="AO11" s="958"/>
      <c r="AP11" s="955"/>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971"/>
      <c r="AC12" s="971"/>
      <c r="AD12" s="972" t="s">
        <v>132</v>
      </c>
      <c r="AE12" s="972"/>
      <c r="AF12" s="972"/>
      <c r="AG12" s="972"/>
      <c r="AH12" s="972"/>
      <c r="AI12" s="959"/>
      <c r="AJ12" s="960"/>
      <c r="AK12" s="961"/>
      <c r="AL12" s="959"/>
      <c r="AM12" s="960"/>
      <c r="AN12" s="960"/>
      <c r="AO12" s="961"/>
      <c r="AP12" s="955"/>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971"/>
      <c r="AC13" s="971"/>
      <c r="AD13" s="972" t="s">
        <v>133</v>
      </c>
      <c r="AE13" s="972"/>
      <c r="AF13" s="972"/>
      <c r="AG13" s="972"/>
      <c r="AH13" s="972"/>
      <c r="AI13" s="959"/>
      <c r="AJ13" s="960"/>
      <c r="AK13" s="961"/>
      <c r="AL13" s="959"/>
      <c r="AM13" s="960"/>
      <c r="AN13" s="960"/>
      <c r="AO13" s="961"/>
      <c r="AP13" s="955"/>
    </row>
    <row r="14" spans="2:44" ht="44.25" customHeight="1">
      <c r="B14" s="632" t="s">
        <v>345</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971"/>
      <c r="AC14" s="971"/>
      <c r="AD14" s="972" t="s">
        <v>134</v>
      </c>
      <c r="AE14" s="972"/>
      <c r="AF14" s="972"/>
      <c r="AG14" s="972"/>
      <c r="AH14" s="972"/>
      <c r="AI14" s="962"/>
      <c r="AJ14" s="963"/>
      <c r="AK14" s="964"/>
      <c r="AL14" s="962"/>
      <c r="AM14" s="963"/>
      <c r="AN14" s="963"/>
      <c r="AO14" s="964"/>
      <c r="AP14" s="955"/>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86">
        <v>3800000000</v>
      </c>
      <c r="AJ15" s="887"/>
      <c r="AK15" s="888"/>
      <c r="AL15" s="886">
        <v>2892408154</v>
      </c>
      <c r="AM15" s="887"/>
      <c r="AN15" s="887"/>
      <c r="AO15" s="888"/>
      <c r="AP15" s="866"/>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89"/>
      <c r="AJ16" s="890"/>
      <c r="AK16" s="891"/>
      <c r="AL16" s="889"/>
      <c r="AM16" s="890"/>
      <c r="AN16" s="890"/>
      <c r="AO16" s="891"/>
      <c r="AP16" s="866"/>
    </row>
    <row r="17" spans="2:42"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89"/>
      <c r="AJ17" s="890"/>
      <c r="AK17" s="891"/>
      <c r="AL17" s="889"/>
      <c r="AM17" s="890"/>
      <c r="AN17" s="890"/>
      <c r="AO17" s="891"/>
      <c r="AP17" s="866"/>
    </row>
    <row r="18" spans="2:42" ht="28.5" customHeight="1">
      <c r="B18" s="43" t="s">
        <v>341</v>
      </c>
      <c r="C18" s="607" t="s">
        <v>114</v>
      </c>
      <c r="D18" s="608"/>
      <c r="E18" s="644">
        <v>1</v>
      </c>
      <c r="F18" s="644"/>
      <c r="G18" s="632" t="s">
        <v>342</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92"/>
      <c r="AJ18" s="893"/>
      <c r="AK18" s="894"/>
      <c r="AL18" s="892"/>
      <c r="AM18" s="893"/>
      <c r="AN18" s="893"/>
      <c r="AO18" s="894"/>
      <c r="AP18" s="866"/>
    </row>
    <row r="19" spans="2:42"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95">
        <v>3800000000</v>
      </c>
      <c r="AJ19" s="896"/>
      <c r="AK19" s="897"/>
      <c r="AL19" s="895">
        <v>3051533778</v>
      </c>
      <c r="AM19" s="896"/>
      <c r="AN19" s="896"/>
      <c r="AO19" s="897"/>
      <c r="AP19" s="669"/>
    </row>
    <row r="20" spans="2:42" ht="45.4" customHeight="1">
      <c r="B20" s="607" t="s">
        <v>343</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98"/>
      <c r="AJ20" s="899"/>
      <c r="AK20" s="900"/>
      <c r="AL20" s="898"/>
      <c r="AM20" s="899"/>
      <c r="AN20" s="899"/>
      <c r="AO20" s="900"/>
      <c r="AP20" s="669"/>
    </row>
    <row r="21" spans="2:42"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98"/>
      <c r="AJ21" s="899"/>
      <c r="AK21" s="900"/>
      <c r="AL21" s="898"/>
      <c r="AM21" s="899"/>
      <c r="AN21" s="899"/>
      <c r="AO21" s="900"/>
      <c r="AP21" s="669"/>
    </row>
    <row r="22" spans="2:42" ht="18.95" customHeight="1">
      <c r="B22" s="633" t="s">
        <v>12</v>
      </c>
      <c r="C22" s="633"/>
      <c r="D22" s="44" t="s">
        <v>13</v>
      </c>
      <c r="E22" s="44" t="s">
        <v>14</v>
      </c>
      <c r="F22" s="44" t="s">
        <v>15</v>
      </c>
      <c r="G22" s="641" t="s">
        <v>16</v>
      </c>
      <c r="H22" s="641"/>
      <c r="I22" s="641"/>
      <c r="J22" s="44" t="s">
        <v>17</v>
      </c>
      <c r="K22" s="641" t="s">
        <v>18</v>
      </c>
      <c r="L22" s="641"/>
      <c r="M22" s="641"/>
      <c r="N22" s="44" t="s">
        <v>19</v>
      </c>
      <c r="O22" s="641" t="s">
        <v>20</v>
      </c>
      <c r="P22" s="641"/>
      <c r="Q22" s="641" t="s">
        <v>21</v>
      </c>
      <c r="R22" s="641"/>
      <c r="S22" s="641"/>
      <c r="T22" s="641" t="s">
        <v>22</v>
      </c>
      <c r="U22" s="641"/>
      <c r="V22" s="641" t="s">
        <v>23</v>
      </c>
      <c r="W22" s="641"/>
      <c r="X22" s="44" t="s">
        <v>24</v>
      </c>
      <c r="AB22" s="679"/>
      <c r="AC22" s="679"/>
      <c r="AD22" s="681" t="s">
        <v>142</v>
      </c>
      <c r="AE22" s="681"/>
      <c r="AF22" s="681"/>
      <c r="AG22" s="681"/>
      <c r="AH22" s="681"/>
      <c r="AI22" s="901"/>
      <c r="AJ22" s="902"/>
      <c r="AK22" s="903"/>
      <c r="AL22" s="901"/>
      <c r="AM22" s="902"/>
      <c r="AN22" s="902"/>
      <c r="AO22" s="903"/>
      <c r="AP22" s="669"/>
    </row>
    <row r="23" spans="2:42" ht="18.95" customHeight="1">
      <c r="B23" s="633" t="s">
        <v>25</v>
      </c>
      <c r="C23" s="633"/>
      <c r="D23" s="859">
        <f>AL15</f>
        <v>2892408154</v>
      </c>
      <c r="E23" s="860"/>
      <c r="F23" s="860"/>
      <c r="G23" s="860"/>
      <c r="H23" s="860"/>
      <c r="I23" s="860"/>
      <c r="J23" s="860"/>
      <c r="K23" s="860"/>
      <c r="L23" s="860"/>
      <c r="M23" s="860"/>
      <c r="N23" s="860"/>
      <c r="O23" s="860"/>
      <c r="P23" s="860"/>
      <c r="Q23" s="860"/>
      <c r="R23" s="860"/>
      <c r="S23" s="860"/>
      <c r="T23" s="860"/>
      <c r="U23" s="860"/>
      <c r="V23" s="860"/>
      <c r="W23" s="860"/>
      <c r="X23" s="861"/>
      <c r="Z23" s="52"/>
      <c r="AA23" s="52"/>
    </row>
    <row r="24" spans="2:42" ht="18.95" customHeight="1">
      <c r="B24" s="633" t="s">
        <v>26</v>
      </c>
      <c r="C24" s="633"/>
      <c r="D24" s="859">
        <f>AI15</f>
        <v>3800000000</v>
      </c>
      <c r="E24" s="860"/>
      <c r="F24" s="860"/>
      <c r="G24" s="860"/>
      <c r="H24" s="860"/>
      <c r="I24" s="860"/>
      <c r="J24" s="860"/>
      <c r="K24" s="860"/>
      <c r="L24" s="860"/>
      <c r="M24" s="860"/>
      <c r="N24" s="860"/>
      <c r="O24" s="860"/>
      <c r="P24" s="860"/>
      <c r="Q24" s="860"/>
      <c r="R24" s="860"/>
      <c r="S24" s="860"/>
      <c r="T24" s="860"/>
      <c r="U24" s="860"/>
      <c r="V24" s="860"/>
      <c r="W24" s="860"/>
      <c r="X24" s="861"/>
      <c r="Y24" s="53"/>
    </row>
    <row r="25" spans="2:42"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2" ht="25.5">
      <c r="B26" s="44" t="s">
        <v>27</v>
      </c>
      <c r="C26" s="44" t="s">
        <v>28</v>
      </c>
      <c r="D26" s="44" t="s">
        <v>29</v>
      </c>
      <c r="E26" s="44" t="s">
        <v>30</v>
      </c>
      <c r="F26" s="27"/>
      <c r="G26" s="27"/>
      <c r="H26" s="601"/>
      <c r="I26" s="601"/>
      <c r="J26" s="601"/>
      <c r="K26" s="601"/>
      <c r="L26" s="601"/>
      <c r="M26" s="601"/>
      <c r="N26" s="601"/>
      <c r="O26" s="601"/>
      <c r="P26" s="601"/>
      <c r="Q26" s="601"/>
      <c r="R26" s="601"/>
      <c r="S26" s="627"/>
      <c r="T26" s="627"/>
      <c r="U26" s="627"/>
      <c r="V26" s="627"/>
      <c r="W26" s="627"/>
      <c r="X26" s="623"/>
    </row>
    <row r="27" spans="2:42" ht="17.649999999999999" customHeight="1">
      <c r="B27" s="3" t="s">
        <v>31</v>
      </c>
      <c r="C27" s="686">
        <f>IF(ISERROR($D$23/$D$24),0,$D$23/$D$24)</f>
        <v>0.76116004052631581</v>
      </c>
      <c r="D27" s="686">
        <f t="shared" ref="D27" si="0">$E$18</f>
        <v>1</v>
      </c>
      <c r="E27" s="4">
        <f>$O$14</f>
        <v>1</v>
      </c>
      <c r="F27" s="28"/>
      <c r="G27" s="28"/>
      <c r="H27" s="602"/>
      <c r="I27" s="602"/>
      <c r="J27" s="590"/>
      <c r="K27" s="590"/>
      <c r="L27" s="5"/>
      <c r="M27" s="5"/>
      <c r="N27" s="602"/>
      <c r="O27" s="602"/>
      <c r="P27" s="602"/>
      <c r="Q27" s="602"/>
      <c r="R27" s="602"/>
      <c r="S27" s="628"/>
      <c r="T27" s="628"/>
      <c r="U27" s="628"/>
      <c r="V27" s="628"/>
      <c r="W27" s="628"/>
      <c r="X27" s="629"/>
    </row>
    <row r="28" spans="2:42" ht="17.649999999999999" customHeight="1">
      <c r="B28" s="3" t="s">
        <v>32</v>
      </c>
      <c r="C28" s="687"/>
      <c r="D28" s="687"/>
      <c r="E28" s="4">
        <f t="shared" ref="E28:E37" si="1">$O$14</f>
        <v>1</v>
      </c>
      <c r="F28" s="28"/>
      <c r="G28" s="28"/>
      <c r="H28" s="590"/>
      <c r="I28" s="590"/>
      <c r="J28" s="590"/>
      <c r="K28" s="590"/>
      <c r="L28" s="6"/>
      <c r="M28" s="5"/>
      <c r="N28" s="590"/>
      <c r="O28" s="590"/>
      <c r="P28" s="590"/>
      <c r="Q28" s="590"/>
      <c r="R28" s="590"/>
      <c r="S28" s="628"/>
      <c r="T28" s="628"/>
      <c r="U28" s="628"/>
      <c r="V28" s="628"/>
      <c r="W28" s="628"/>
      <c r="X28" s="629"/>
    </row>
    <row r="29" spans="2:42" ht="17.649999999999999" customHeight="1">
      <c r="B29" s="3" t="s">
        <v>33</v>
      </c>
      <c r="C29" s="687"/>
      <c r="D29" s="687"/>
      <c r="E29" s="4">
        <f t="shared" si="1"/>
        <v>1</v>
      </c>
      <c r="F29" s="28"/>
      <c r="G29" s="28"/>
      <c r="H29" s="590"/>
      <c r="I29" s="590"/>
      <c r="J29" s="590"/>
      <c r="K29" s="590"/>
      <c r="L29" s="6"/>
      <c r="M29" s="5"/>
      <c r="N29" s="590"/>
      <c r="O29" s="590"/>
      <c r="P29" s="590"/>
      <c r="Q29" s="590"/>
      <c r="R29" s="590"/>
      <c r="S29" s="628"/>
      <c r="T29" s="628"/>
      <c r="U29" s="628"/>
      <c r="V29" s="628"/>
      <c r="W29" s="628"/>
      <c r="X29" s="629"/>
    </row>
    <row r="30" spans="2:42" ht="17.649999999999999" customHeight="1">
      <c r="B30" s="3" t="s">
        <v>34</v>
      </c>
      <c r="C30" s="687"/>
      <c r="D30" s="687"/>
      <c r="E30" s="4">
        <f t="shared" si="1"/>
        <v>1</v>
      </c>
      <c r="F30" s="28"/>
      <c r="G30" s="28"/>
      <c r="H30" s="590"/>
      <c r="I30" s="590"/>
      <c r="J30" s="590"/>
      <c r="K30" s="590"/>
      <c r="L30" s="6"/>
      <c r="M30" s="5"/>
      <c r="N30" s="590"/>
      <c r="O30" s="590"/>
      <c r="P30" s="590"/>
      <c r="Q30" s="590"/>
      <c r="R30" s="590"/>
      <c r="S30" s="628"/>
      <c r="T30" s="628"/>
      <c r="U30" s="628"/>
      <c r="V30" s="628"/>
      <c r="W30" s="628"/>
      <c r="X30" s="629"/>
    </row>
    <row r="31" spans="2:42" ht="17.649999999999999" customHeight="1">
      <c r="B31" s="3" t="s">
        <v>35</v>
      </c>
      <c r="C31" s="687"/>
      <c r="D31" s="687"/>
      <c r="E31" s="4">
        <f t="shared" si="1"/>
        <v>1</v>
      </c>
      <c r="F31" s="28"/>
      <c r="G31" s="28"/>
      <c r="H31" s="590"/>
      <c r="I31" s="590"/>
      <c r="J31" s="590"/>
      <c r="K31" s="590"/>
      <c r="L31" s="6"/>
      <c r="M31" s="5"/>
      <c r="N31" s="590"/>
      <c r="O31" s="590"/>
      <c r="P31" s="590"/>
      <c r="Q31" s="590"/>
      <c r="R31" s="590"/>
      <c r="S31" s="628"/>
      <c r="T31" s="628"/>
      <c r="U31" s="628"/>
      <c r="V31" s="628"/>
      <c r="W31" s="628"/>
      <c r="X31" s="629"/>
    </row>
    <row r="32" spans="2:42" ht="17.649999999999999" customHeight="1">
      <c r="B32" s="3" t="s">
        <v>36</v>
      </c>
      <c r="C32" s="687"/>
      <c r="D32" s="687"/>
      <c r="E32" s="4">
        <f t="shared" si="1"/>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3" t="s">
        <v>37</v>
      </c>
      <c r="C33" s="687"/>
      <c r="D33" s="687"/>
      <c r="E33" s="4">
        <f t="shared" si="1"/>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3" t="s">
        <v>38</v>
      </c>
      <c r="C34" s="687"/>
      <c r="D34" s="687"/>
      <c r="E34" s="4">
        <f t="shared" si="1"/>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3" t="s">
        <v>39</v>
      </c>
      <c r="C35" s="687"/>
      <c r="D35" s="687"/>
      <c r="E35" s="4">
        <f t="shared" si="1"/>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3" t="s">
        <v>40</v>
      </c>
      <c r="C36" s="687"/>
      <c r="D36" s="687"/>
      <c r="E36" s="4">
        <f t="shared" si="1"/>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3" t="s">
        <v>41</v>
      </c>
      <c r="C37" s="687"/>
      <c r="D37" s="687"/>
      <c r="E37" s="4">
        <f t="shared" si="1"/>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3" t="s">
        <v>42</v>
      </c>
      <c r="C38" s="688"/>
      <c r="D38" s="688"/>
      <c r="E38" s="4">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t="s">
        <v>346</v>
      </c>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168">
    <mergeCell ref="W5:X5"/>
    <mergeCell ref="AB5:AC6"/>
    <mergeCell ref="AD5:AH6"/>
    <mergeCell ref="AI5:AK6"/>
    <mergeCell ref="AL5:AO6"/>
    <mergeCell ref="B6:X6"/>
    <mergeCell ref="B1:T1"/>
    <mergeCell ref="U1:X4"/>
    <mergeCell ref="B2:T4"/>
    <mergeCell ref="C5:D5"/>
    <mergeCell ref="E5:G5"/>
    <mergeCell ref="H5:J5"/>
    <mergeCell ref="K5:N5"/>
    <mergeCell ref="O5:R5"/>
    <mergeCell ref="S5:V5"/>
    <mergeCell ref="AB3:AP4"/>
    <mergeCell ref="AP5:AP6"/>
    <mergeCell ref="AB1:AR1"/>
    <mergeCell ref="AD8:AH8"/>
    <mergeCell ref="B9:X9"/>
    <mergeCell ref="AD9:AH9"/>
    <mergeCell ref="B7:F8"/>
    <mergeCell ref="G7:X8"/>
    <mergeCell ref="AB7:AC10"/>
    <mergeCell ref="AD7:AH7"/>
    <mergeCell ref="B10:X10"/>
    <mergeCell ref="AD10:AH10"/>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23:C23"/>
    <mergeCell ref="D24:X24"/>
    <mergeCell ref="D23:X23"/>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N31:O31"/>
    <mergeCell ref="P31:R31"/>
    <mergeCell ref="N28:O28"/>
    <mergeCell ref="P28:R28"/>
    <mergeCell ref="H29:I29"/>
    <mergeCell ref="J29:K29"/>
    <mergeCell ref="N29:O29"/>
    <mergeCell ref="P29:R29"/>
    <mergeCell ref="B24:C24"/>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D27:D38"/>
    <mergeCell ref="C27:C38"/>
    <mergeCell ref="H34:I34"/>
    <mergeCell ref="J34:K34"/>
    <mergeCell ref="N34:O34"/>
    <mergeCell ref="P34:R34"/>
    <mergeCell ref="H35:I35"/>
    <mergeCell ref="J35:K35"/>
    <mergeCell ref="N35:O35"/>
    <mergeCell ref="P35:R35"/>
    <mergeCell ref="B46:H46"/>
    <mergeCell ref="L46:M46"/>
    <mergeCell ref="Q46:R46"/>
    <mergeCell ref="I47:X47"/>
    <mergeCell ref="B48:X48"/>
    <mergeCell ref="G50:H50"/>
    <mergeCell ref="I50:X50"/>
    <mergeCell ref="B42:X42"/>
    <mergeCell ref="B43:X43"/>
    <mergeCell ref="B44:X44"/>
    <mergeCell ref="G45:H45"/>
    <mergeCell ref="I45:J45"/>
    <mergeCell ref="K45:L45"/>
    <mergeCell ref="AP7:AP10"/>
    <mergeCell ref="AP11:AP14"/>
    <mergeCell ref="AP15:AP18"/>
    <mergeCell ref="AP19:AP22"/>
    <mergeCell ref="AI7:AK10"/>
    <mergeCell ref="AL7:AO10"/>
    <mergeCell ref="AI11:AK14"/>
    <mergeCell ref="AL11:AO14"/>
    <mergeCell ref="AI15:AK18"/>
    <mergeCell ref="AL15:AO18"/>
    <mergeCell ref="AI19:AK22"/>
    <mergeCell ref="AL19:AO22"/>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0">
    <tabColor theme="7"/>
    <pageSetUpPr fitToPage="1"/>
  </sheetPr>
  <dimension ref="B1:AR50"/>
  <sheetViews>
    <sheetView zoomScale="80" zoomScaleNormal="80" zoomScaleSheetLayoutView="100" workbookViewId="0">
      <selection activeCell="AN34" sqref="AN3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89</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82">
        <v>119000000</v>
      </c>
      <c r="AJ7" s="882"/>
      <c r="AK7" s="882"/>
      <c r="AL7" s="882">
        <v>29173862</v>
      </c>
      <c r="AM7" s="882"/>
      <c r="AN7" s="882"/>
      <c r="AO7" s="882"/>
      <c r="AP7" s="674">
        <f t="shared" ref="AP7:AP10" si="0">AL7/AI7</f>
        <v>0.24515850420168067</v>
      </c>
      <c r="AQ7" s="674"/>
      <c r="AR7" s="668">
        <f>SUM(AP7:AQ10)/4</f>
        <v>0.43772878151260503</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82">
        <v>119000000</v>
      </c>
      <c r="AJ8" s="882"/>
      <c r="AK8" s="882"/>
      <c r="AL8" s="882">
        <f>16008030+AL7</f>
        <v>45181892</v>
      </c>
      <c r="AM8" s="882"/>
      <c r="AN8" s="882"/>
      <c r="AO8" s="882"/>
      <c r="AP8" s="674">
        <f t="shared" si="0"/>
        <v>0.37967976470588233</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82">
        <v>119000000</v>
      </c>
      <c r="AJ9" s="882"/>
      <c r="AK9" s="882"/>
      <c r="AL9" s="882">
        <f>12783657+AL8</f>
        <v>57965549</v>
      </c>
      <c r="AM9" s="882"/>
      <c r="AN9" s="882"/>
      <c r="AO9" s="882"/>
      <c r="AP9" s="674">
        <f t="shared" si="0"/>
        <v>0.4871054537815126</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82">
        <v>119000000</v>
      </c>
      <c r="AJ10" s="882"/>
      <c r="AK10" s="882"/>
      <c r="AL10" s="882">
        <f>18072048+AL9</f>
        <v>76037597</v>
      </c>
      <c r="AM10" s="882"/>
      <c r="AN10" s="882"/>
      <c r="AO10" s="882"/>
      <c r="AP10" s="674">
        <f t="shared" si="0"/>
        <v>0.6389714033613445</v>
      </c>
      <c r="AQ10" s="674"/>
      <c r="AR10" s="668"/>
    </row>
    <row r="11" spans="2:44" ht="38.25" customHeight="1">
      <c r="B11" s="640" t="s">
        <v>177</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81">
        <v>47440000</v>
      </c>
      <c r="AJ11" s="881"/>
      <c r="AK11" s="881"/>
      <c r="AL11" s="881">
        <v>17211872</v>
      </c>
      <c r="AM11" s="881"/>
      <c r="AN11" s="881"/>
      <c r="AO11" s="881"/>
      <c r="AP11" s="671">
        <f>AL11/AI11</f>
        <v>0.36281349072512648</v>
      </c>
      <c r="AQ11" s="671"/>
      <c r="AR11" s="669">
        <f>SUM(AP11:AQ14)/4</f>
        <v>0.61588124329045646</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81">
        <v>47440000</v>
      </c>
      <c r="AJ12" s="881"/>
      <c r="AK12" s="881"/>
      <c r="AL12" s="881">
        <f>18499267+AL11</f>
        <v>35711139</v>
      </c>
      <c r="AM12" s="881"/>
      <c r="AN12" s="881"/>
      <c r="AO12" s="881"/>
      <c r="AP12" s="671">
        <f t="shared" ref="AP12:AP22" si="1">AL12/AI12</f>
        <v>0.75276431281618883</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81">
        <v>97440000</v>
      </c>
      <c r="AJ13" s="881"/>
      <c r="AK13" s="881"/>
      <c r="AL13" s="881">
        <f>+AL12+18443061</f>
        <v>54154200</v>
      </c>
      <c r="AM13" s="881"/>
      <c r="AN13" s="881"/>
      <c r="AO13" s="881"/>
      <c r="AP13" s="671">
        <f t="shared" si="1"/>
        <v>0.55576970443349749</v>
      </c>
      <c r="AQ13" s="671"/>
      <c r="AR13" s="669"/>
    </row>
    <row r="14" spans="2:44" ht="29.25" customHeight="1">
      <c r="B14" s="632" t="s">
        <v>404</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81">
        <v>97440001</v>
      </c>
      <c r="AJ14" s="881"/>
      <c r="AK14" s="881"/>
      <c r="AL14" s="881">
        <f>23035573+AL13</f>
        <v>77189773</v>
      </c>
      <c r="AM14" s="881"/>
      <c r="AN14" s="881"/>
      <c r="AO14" s="881"/>
      <c r="AP14" s="671">
        <f t="shared" si="1"/>
        <v>0.79217746518701293</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82">
        <v>108000000</v>
      </c>
      <c r="AJ15" s="882"/>
      <c r="AK15" s="882"/>
      <c r="AL15" s="882">
        <v>26785134</v>
      </c>
      <c r="AM15" s="882"/>
      <c r="AN15" s="882"/>
      <c r="AO15" s="882"/>
      <c r="AP15" s="674">
        <f t="shared" si="1"/>
        <v>0.24801049999999999</v>
      </c>
      <c r="AQ15" s="674"/>
      <c r="AR15" s="668">
        <f t="shared" ref="AR15" si="2">SUM(AP15:AQ18)/4</f>
        <v>0.50113772916666666</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82">
        <v>108000000</v>
      </c>
      <c r="AJ16" s="882"/>
      <c r="AK16" s="882"/>
      <c r="AL16" s="882">
        <v>31045024</v>
      </c>
      <c r="AM16" s="882"/>
      <c r="AN16" s="882"/>
      <c r="AO16" s="882"/>
      <c r="AP16" s="674">
        <f t="shared" si="1"/>
        <v>0.28745392592592595</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82">
        <v>108000000</v>
      </c>
      <c r="AJ17" s="882"/>
      <c r="AK17" s="882"/>
      <c r="AL17" s="882">
        <v>79157625</v>
      </c>
      <c r="AM17" s="882"/>
      <c r="AN17" s="882"/>
      <c r="AO17" s="882"/>
      <c r="AP17" s="674">
        <f t="shared" si="1"/>
        <v>0.73294097222222221</v>
      </c>
      <c r="AQ17" s="674"/>
      <c r="AR17" s="668"/>
    </row>
    <row r="18" spans="2:44" ht="28.5" customHeight="1">
      <c r="B18" s="163" t="s">
        <v>405</v>
      </c>
      <c r="C18" s="607" t="s">
        <v>112</v>
      </c>
      <c r="D18" s="608"/>
      <c r="E18" s="644"/>
      <c r="F18" s="644"/>
      <c r="G18" s="632" t="s">
        <v>406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82">
        <v>108000000</v>
      </c>
      <c r="AJ18" s="882"/>
      <c r="AK18" s="882"/>
      <c r="AL18" s="882">
        <v>79503716</v>
      </c>
      <c r="AM18" s="882"/>
      <c r="AN18" s="882"/>
      <c r="AO18" s="882"/>
      <c r="AP18" s="674">
        <f t="shared" si="1"/>
        <v>0.7361455185185185</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81">
        <v>173461903</v>
      </c>
      <c r="AJ19" s="881"/>
      <c r="AK19" s="881"/>
      <c r="AL19" s="881">
        <v>14359021</v>
      </c>
      <c r="AM19" s="881"/>
      <c r="AN19" s="881"/>
      <c r="AO19" s="881"/>
      <c r="AP19" s="671">
        <f t="shared" si="1"/>
        <v>8.2779104527637981E-2</v>
      </c>
      <c r="AQ19" s="671"/>
      <c r="AR19" s="669" t="e">
        <f t="shared" ref="AR19" si="3">SUM(AP19:AQ22)/4</f>
        <v>#DIV/0!</v>
      </c>
    </row>
    <row r="20" spans="2:44" ht="45.4" customHeight="1">
      <c r="B20" s="607" t="s">
        <v>465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81">
        <v>173461903</v>
      </c>
      <c r="AJ20" s="881"/>
      <c r="AK20" s="881"/>
      <c r="AL20" s="881">
        <v>140747121</v>
      </c>
      <c r="AM20" s="881"/>
      <c r="AN20" s="881"/>
      <c r="AO20" s="881"/>
      <c r="AP20" s="671">
        <f t="shared" si="1"/>
        <v>0.8114007661959064</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81"/>
      <c r="AJ21" s="881"/>
      <c r="AK21" s="881"/>
      <c r="AL21" s="881"/>
      <c r="AM21" s="881"/>
      <c r="AN21" s="881"/>
      <c r="AO21" s="881"/>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81"/>
      <c r="AJ22" s="881"/>
      <c r="AK22" s="881"/>
      <c r="AL22" s="881"/>
      <c r="AM22" s="881"/>
      <c r="AN22" s="881"/>
      <c r="AO22" s="881"/>
      <c r="AP22" s="671" t="e">
        <f t="shared" si="1"/>
        <v>#DIV/0!</v>
      </c>
      <c r="AQ22" s="671"/>
      <c r="AR22" s="669"/>
    </row>
    <row r="23" spans="2:44" ht="18.95" customHeight="1">
      <c r="B23" s="633" t="s">
        <v>25</v>
      </c>
      <c r="C23" s="633"/>
      <c r="D23" s="875">
        <f>AL15</f>
        <v>26785134</v>
      </c>
      <c r="E23" s="876"/>
      <c r="F23" s="877"/>
      <c r="G23" s="878">
        <f>AL16</f>
        <v>31045024</v>
      </c>
      <c r="H23" s="879"/>
      <c r="I23" s="879"/>
      <c r="J23" s="879"/>
      <c r="K23" s="879"/>
      <c r="L23" s="879"/>
      <c r="M23" s="880"/>
      <c r="N23" s="875">
        <f>AL17</f>
        <v>79157625</v>
      </c>
      <c r="O23" s="876"/>
      <c r="P23" s="876"/>
      <c r="Q23" s="876"/>
      <c r="R23" s="876"/>
      <c r="S23" s="877"/>
      <c r="T23" s="878">
        <f>AL18</f>
        <v>79503716</v>
      </c>
      <c r="U23" s="879"/>
      <c r="V23" s="879"/>
      <c r="W23" s="879"/>
      <c r="X23" s="880"/>
      <c r="Z23" s="52"/>
      <c r="AA23" s="52"/>
    </row>
    <row r="24" spans="2:44" ht="18.95" customHeight="1">
      <c r="B24" s="633" t="s">
        <v>26</v>
      </c>
      <c r="C24" s="633"/>
      <c r="D24" s="875">
        <f>AI15</f>
        <v>108000000</v>
      </c>
      <c r="E24" s="876"/>
      <c r="F24" s="877"/>
      <c r="G24" s="878">
        <f>AI16</f>
        <v>108000000</v>
      </c>
      <c r="H24" s="879"/>
      <c r="I24" s="879"/>
      <c r="J24" s="879"/>
      <c r="K24" s="879"/>
      <c r="L24" s="879"/>
      <c r="M24" s="880"/>
      <c r="N24" s="875">
        <f>AI17</f>
        <v>108000000</v>
      </c>
      <c r="O24" s="876"/>
      <c r="P24" s="876"/>
      <c r="Q24" s="876"/>
      <c r="R24" s="876"/>
      <c r="S24" s="877"/>
      <c r="T24" s="878">
        <f>AI18</f>
        <v>108000000</v>
      </c>
      <c r="U24" s="879"/>
      <c r="V24" s="879"/>
      <c r="W24" s="879"/>
      <c r="X24" s="880"/>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0.24801049999999999</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0.28745392592592595</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0.73294097222222221</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0.7361455185185185</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1">
    <tabColor theme="7"/>
    <pageSetUpPr fitToPage="1"/>
  </sheetPr>
  <dimension ref="B1:AR50"/>
  <sheetViews>
    <sheetView zoomScale="80" zoomScaleNormal="80" zoomScaleSheetLayoutView="100" workbookViewId="0">
      <selection activeCell="AI20" sqref="AI20:AK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89</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420000000</v>
      </c>
      <c r="AJ7" s="866"/>
      <c r="AK7" s="866"/>
      <c r="AL7" s="866">
        <v>170116138</v>
      </c>
      <c r="AM7" s="866"/>
      <c r="AN7" s="866"/>
      <c r="AO7" s="866"/>
      <c r="AP7" s="674">
        <f t="shared" ref="AP7:AP10" si="0">AL7/AI7</f>
        <v>0.40503842380952382</v>
      </c>
      <c r="AQ7" s="674"/>
      <c r="AR7" s="668">
        <f>SUM(AP7:AQ10)/4</f>
        <v>0.61645710773809526</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420000000</v>
      </c>
      <c r="AJ8" s="866"/>
      <c r="AK8" s="866"/>
      <c r="AL8" s="866">
        <f>59713814+AL7</f>
        <v>229829952</v>
      </c>
      <c r="AM8" s="866"/>
      <c r="AN8" s="866"/>
      <c r="AO8" s="866"/>
      <c r="AP8" s="674">
        <f t="shared" si="0"/>
        <v>0.54721417142857143</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420000000</v>
      </c>
      <c r="AJ9" s="866"/>
      <c r="AK9" s="866"/>
      <c r="AL9" s="866">
        <f>57685373+AL8</f>
        <v>287515325</v>
      </c>
      <c r="AM9" s="866"/>
      <c r="AN9" s="866"/>
      <c r="AO9" s="866"/>
      <c r="AP9" s="674">
        <f t="shared" si="0"/>
        <v>0.68456029761904758</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420000000</v>
      </c>
      <c r="AJ10" s="866"/>
      <c r="AK10" s="866"/>
      <c r="AL10" s="866">
        <f>60671201+AL9</f>
        <v>348186526</v>
      </c>
      <c r="AM10" s="866"/>
      <c r="AN10" s="866"/>
      <c r="AO10" s="866"/>
      <c r="AP10" s="674">
        <f t="shared" si="0"/>
        <v>0.82901553809523809</v>
      </c>
      <c r="AQ10" s="674"/>
      <c r="AR10" s="668"/>
    </row>
    <row r="11" spans="2:44" ht="38.25" customHeight="1">
      <c r="B11" s="640" t="s">
        <v>178</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120600000</v>
      </c>
      <c r="AJ11" s="865"/>
      <c r="AK11" s="865"/>
      <c r="AL11" s="865">
        <v>52971395</v>
      </c>
      <c r="AM11" s="865"/>
      <c r="AN11" s="865"/>
      <c r="AO11" s="865"/>
      <c r="AP11" s="671">
        <f>AL11/AI11</f>
        <v>0.43923213101160863</v>
      </c>
      <c r="AQ11" s="671"/>
      <c r="AR11" s="669">
        <f>SUM(AP11:AQ14)/4</f>
        <v>0.91731541448607634</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120600000</v>
      </c>
      <c r="AJ12" s="865"/>
      <c r="AK12" s="865"/>
      <c r="AL12" s="865">
        <f>62504925+AL11</f>
        <v>115476320</v>
      </c>
      <c r="AM12" s="865"/>
      <c r="AN12" s="865"/>
      <c r="AO12" s="865"/>
      <c r="AP12" s="671">
        <f t="shared" ref="AP12:AP22" si="1">AL12/AI12</f>
        <v>0.95751509121061362</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250600000</v>
      </c>
      <c r="AJ13" s="865"/>
      <c r="AK13" s="865"/>
      <c r="AL13" s="865">
        <f>43326303+AL12</f>
        <v>158802623</v>
      </c>
      <c r="AM13" s="865"/>
      <c r="AN13" s="865"/>
      <c r="AO13" s="865"/>
      <c r="AP13" s="671">
        <f t="shared" si="1"/>
        <v>0.63368963687150837</v>
      </c>
      <c r="AQ13" s="671"/>
      <c r="AR13" s="669"/>
    </row>
    <row r="14" spans="2:44" ht="29.25" customHeight="1">
      <c r="B14" s="632" t="s">
        <v>407</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348000000</v>
      </c>
      <c r="AJ14" s="865"/>
      <c r="AK14" s="865"/>
      <c r="AL14" s="865">
        <f>411508407+AL13</f>
        <v>570311030</v>
      </c>
      <c r="AM14" s="865"/>
      <c r="AN14" s="865"/>
      <c r="AO14" s="865"/>
      <c r="AP14" s="671">
        <f t="shared" si="1"/>
        <v>1.6388247988505746</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481820000</v>
      </c>
      <c r="AJ15" s="866"/>
      <c r="AK15" s="866"/>
      <c r="AL15" s="866">
        <v>236492570</v>
      </c>
      <c r="AM15" s="866"/>
      <c r="AN15" s="866"/>
      <c r="AO15" s="866"/>
      <c r="AP15" s="674">
        <f t="shared" si="1"/>
        <v>0.4908317836536466</v>
      </c>
      <c r="AQ15" s="674"/>
      <c r="AR15" s="668">
        <f t="shared" ref="AR15" si="2">SUM(AP15:AQ18)/4</f>
        <v>0.70699297961188001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609820000</v>
      </c>
      <c r="AJ16" s="866"/>
      <c r="AK16" s="866"/>
      <c r="AL16" s="866">
        <v>468487789</v>
      </c>
      <c r="AM16" s="866"/>
      <c r="AN16" s="866"/>
      <c r="AO16" s="866"/>
      <c r="AP16" s="674">
        <f t="shared" si="1"/>
        <v>0.76823946246433372</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609820000</v>
      </c>
      <c r="AJ17" s="866"/>
      <c r="AK17" s="866"/>
      <c r="AL17" s="866">
        <v>455673893</v>
      </c>
      <c r="AM17" s="866"/>
      <c r="AN17" s="866"/>
      <c r="AO17" s="866"/>
      <c r="AP17" s="674">
        <f t="shared" si="1"/>
        <v>0.74722687514348496</v>
      </c>
      <c r="AQ17" s="674"/>
      <c r="AR17" s="668"/>
    </row>
    <row r="18" spans="2:44" ht="28.5" customHeight="1">
      <c r="B18" s="163" t="s">
        <v>408</v>
      </c>
      <c r="C18" s="607" t="s">
        <v>112</v>
      </c>
      <c r="D18" s="608"/>
      <c r="E18" s="644"/>
      <c r="F18" s="644"/>
      <c r="G18" s="632" t="s">
        <v>406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609820000</v>
      </c>
      <c r="AJ18" s="866"/>
      <c r="AK18" s="866"/>
      <c r="AL18" s="866">
        <v>501073115</v>
      </c>
      <c r="AM18" s="866"/>
      <c r="AN18" s="866"/>
      <c r="AO18" s="866"/>
      <c r="AP18" s="674">
        <f t="shared" si="1"/>
        <v>0.82167379718605493</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337000000</v>
      </c>
      <c r="AJ19" s="865"/>
      <c r="AK19" s="865"/>
      <c r="AL19" s="865">
        <v>64735131</v>
      </c>
      <c r="AM19" s="865"/>
      <c r="AN19" s="865"/>
      <c r="AO19" s="865"/>
      <c r="AP19" s="671">
        <f t="shared" si="1"/>
        <v>0.1920923768545994</v>
      </c>
      <c r="AQ19" s="671"/>
      <c r="AR19" s="669" t="e">
        <f t="shared" ref="AR19" si="3">SUM(AP19:AQ22)/4</f>
        <v>#DIV/0!</v>
      </c>
    </row>
    <row r="20" spans="2:44" ht="45.4" customHeight="1">
      <c r="B20" s="607" t="s">
        <v>465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v>337000000</v>
      </c>
      <c r="AJ20" s="865"/>
      <c r="AK20" s="865"/>
      <c r="AL20" s="865">
        <v>116257815</v>
      </c>
      <c r="AM20" s="865"/>
      <c r="AN20" s="865"/>
      <c r="AO20" s="865"/>
      <c r="AP20" s="671">
        <f t="shared" si="1"/>
        <v>0.34497867952522254</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75">
        <f>AL15</f>
        <v>236492570</v>
      </c>
      <c r="E23" s="876"/>
      <c r="F23" s="877"/>
      <c r="G23" s="878">
        <f>AL16</f>
        <v>468487789</v>
      </c>
      <c r="H23" s="879"/>
      <c r="I23" s="879"/>
      <c r="J23" s="879"/>
      <c r="K23" s="879"/>
      <c r="L23" s="879"/>
      <c r="M23" s="880"/>
      <c r="N23" s="875">
        <f>AL17</f>
        <v>455673893</v>
      </c>
      <c r="O23" s="876"/>
      <c r="P23" s="876"/>
      <c r="Q23" s="876"/>
      <c r="R23" s="876"/>
      <c r="S23" s="877"/>
      <c r="T23" s="878">
        <f>AL18</f>
        <v>501073115</v>
      </c>
      <c r="U23" s="879"/>
      <c r="V23" s="879"/>
      <c r="W23" s="879"/>
      <c r="X23" s="880"/>
      <c r="Z23" s="52"/>
      <c r="AA23" s="52"/>
    </row>
    <row r="24" spans="2:44" ht="18.95" customHeight="1">
      <c r="B24" s="633" t="s">
        <v>26</v>
      </c>
      <c r="C24" s="633"/>
      <c r="D24" s="875">
        <f>AI15</f>
        <v>481820000</v>
      </c>
      <c r="E24" s="876"/>
      <c r="F24" s="877"/>
      <c r="G24" s="878">
        <f>AI16</f>
        <v>609820000</v>
      </c>
      <c r="H24" s="879"/>
      <c r="I24" s="879"/>
      <c r="J24" s="879"/>
      <c r="K24" s="879"/>
      <c r="L24" s="879"/>
      <c r="M24" s="880"/>
      <c r="N24" s="875">
        <f>AI17</f>
        <v>609820000</v>
      </c>
      <c r="O24" s="876"/>
      <c r="P24" s="876"/>
      <c r="Q24" s="876"/>
      <c r="R24" s="876"/>
      <c r="S24" s="877"/>
      <c r="T24" s="878">
        <f>AI18</f>
        <v>609820000</v>
      </c>
      <c r="U24" s="879"/>
      <c r="V24" s="879"/>
      <c r="W24" s="879"/>
      <c r="X24" s="880"/>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0.4908317836536466</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0.76823946246433372</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0.74722687514348496</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0.82167379718605493</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2">
    <tabColor theme="7"/>
    <pageSetUpPr fitToPage="1"/>
  </sheetPr>
  <dimension ref="B1:AR50"/>
  <sheetViews>
    <sheetView zoomScale="80" zoomScaleNormal="80" zoomScaleSheetLayoutView="100" workbookViewId="0">
      <selection activeCell="AO37" sqref="AO3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375" style="46" customWidth="1"/>
    <col min="38" max="43" width="4.625" style="46"/>
    <col min="44" max="44" width="9"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89</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357621525.05000001</v>
      </c>
      <c r="AJ7" s="866"/>
      <c r="AK7" s="866"/>
      <c r="AL7" s="866">
        <v>205162328.94999999</v>
      </c>
      <c r="AM7" s="866"/>
      <c r="AN7" s="866"/>
      <c r="AO7" s="866"/>
      <c r="AP7" s="674">
        <f t="shared" ref="AP7:AP10" si="0">AL7/AI7</f>
        <v>0.5736856273439237</v>
      </c>
      <c r="AQ7" s="674"/>
      <c r="AR7" s="668">
        <f>SUM(AP7:AQ10)/4</f>
        <v>0.7852684773679004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357621525.05000001</v>
      </c>
      <c r="AJ8" s="866"/>
      <c r="AK8" s="866"/>
      <c r="AL8" s="866">
        <f>65678710+AL7</f>
        <v>270841038.94999999</v>
      </c>
      <c r="AM8" s="866"/>
      <c r="AN8" s="866"/>
      <c r="AO8" s="866"/>
      <c r="AP8" s="674">
        <f t="shared" si="0"/>
        <v>0.7573398690476838</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357621525.05000001</v>
      </c>
      <c r="AJ9" s="866"/>
      <c r="AK9" s="866"/>
      <c r="AL9" s="866">
        <f>36397697+AL8</f>
        <v>307238735.94999999</v>
      </c>
      <c r="AM9" s="866"/>
      <c r="AN9" s="866"/>
      <c r="AO9" s="866"/>
      <c r="AP9" s="674">
        <f t="shared" si="0"/>
        <v>0.85911701178234201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357621525.05000001</v>
      </c>
      <c r="AJ10" s="866"/>
      <c r="AK10" s="866"/>
      <c r="AL10" s="866">
        <f>32834802+AL9</f>
        <v>340073537.94999999</v>
      </c>
      <c r="AM10" s="866"/>
      <c r="AN10" s="866"/>
      <c r="AO10" s="866"/>
      <c r="AP10" s="674">
        <f t="shared" si="0"/>
        <v>0.9509314012976523</v>
      </c>
      <c r="AQ10" s="674"/>
      <c r="AR10" s="668"/>
    </row>
    <row r="11" spans="2:44" ht="38.25" customHeight="1">
      <c r="B11" s="640" t="s">
        <v>179</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202000000</v>
      </c>
      <c r="AJ11" s="865"/>
      <c r="AK11" s="865"/>
      <c r="AL11" s="865">
        <v>16896848</v>
      </c>
      <c r="AM11" s="865"/>
      <c r="AN11" s="865"/>
      <c r="AO11" s="865"/>
      <c r="AP11" s="671">
        <f>AL11/AI11</f>
        <v>8.3647762376237625E-2</v>
      </c>
      <c r="AQ11" s="671"/>
      <c r="AR11" s="669">
        <f>SUM(AP11:AQ14)/4</f>
        <v>0.21682571870247469</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202000000</v>
      </c>
      <c r="AJ12" s="865"/>
      <c r="AK12" s="865"/>
      <c r="AL12" s="865">
        <f>29257732+AL11</f>
        <v>46154580</v>
      </c>
      <c r="AM12" s="865"/>
      <c r="AN12" s="865"/>
      <c r="AO12" s="865"/>
      <c r="AP12" s="671">
        <f t="shared" ref="AP12:AP22" si="1">AL12/AI12</f>
        <v>0.22848801980198019</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352000000</v>
      </c>
      <c r="AJ13" s="865"/>
      <c r="AK13" s="865"/>
      <c r="AL13" s="865">
        <f>AL12+35340041</f>
        <v>81494621</v>
      </c>
      <c r="AM13" s="865"/>
      <c r="AN13" s="865"/>
      <c r="AO13" s="865"/>
      <c r="AP13" s="671">
        <f t="shared" si="1"/>
        <v>0.23151880965909091</v>
      </c>
      <c r="AQ13" s="671"/>
      <c r="AR13" s="669"/>
    </row>
    <row r="14" spans="2:44" ht="29.25" customHeight="1">
      <c r="B14" s="632" t="s">
        <v>409</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352000001</v>
      </c>
      <c r="AJ14" s="865"/>
      <c r="AK14" s="865"/>
      <c r="AL14" s="865">
        <f>32429574.93+AL13</f>
        <v>113924195.93000001</v>
      </c>
      <c r="AM14" s="865"/>
      <c r="AN14" s="865"/>
      <c r="AO14" s="865"/>
      <c r="AP14" s="671">
        <f t="shared" si="1"/>
        <v>0.32364828297259013</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322000000</v>
      </c>
      <c r="AJ15" s="866"/>
      <c r="AK15" s="866"/>
      <c r="AL15" s="866">
        <v>34059090</v>
      </c>
      <c r="AM15" s="866"/>
      <c r="AN15" s="866"/>
      <c r="AO15" s="866"/>
      <c r="AP15" s="674">
        <f t="shared" si="1"/>
        <v>0.10577357142857143</v>
      </c>
      <c r="AQ15" s="674"/>
      <c r="AR15" s="668">
        <f t="shared" ref="AR15" si="2">SUM(AP15:AQ18)/4</f>
        <v>0.30869163975155278</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322000000</v>
      </c>
      <c r="AJ16" s="866"/>
      <c r="AK16" s="866"/>
      <c r="AL16" s="866">
        <v>35428734</v>
      </c>
      <c r="AM16" s="866"/>
      <c r="AN16" s="866"/>
      <c r="AO16" s="866"/>
      <c r="AP16" s="674">
        <f t="shared" si="1"/>
        <v>0.11002712422360249</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322000000</v>
      </c>
      <c r="AJ17" s="866"/>
      <c r="AK17" s="866"/>
      <c r="AL17" s="866">
        <v>154721070</v>
      </c>
      <c r="AM17" s="866"/>
      <c r="AN17" s="866"/>
      <c r="AO17" s="866"/>
      <c r="AP17" s="674">
        <f t="shared" si="1"/>
        <v>0.48050021739130433</v>
      </c>
      <c r="AQ17" s="674"/>
      <c r="AR17" s="668"/>
    </row>
    <row r="18" spans="2:44" ht="28.5" customHeight="1">
      <c r="B18" s="163" t="s">
        <v>354</v>
      </c>
      <c r="C18" s="607" t="s">
        <v>112</v>
      </c>
      <c r="D18" s="608"/>
      <c r="E18" s="644"/>
      <c r="F18" s="644"/>
      <c r="G18" s="632" t="s">
        <v>406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322000000</v>
      </c>
      <c r="AJ18" s="866"/>
      <c r="AK18" s="866"/>
      <c r="AL18" s="866">
        <v>173385938</v>
      </c>
      <c r="AM18" s="866"/>
      <c r="AN18" s="866"/>
      <c r="AO18" s="866"/>
      <c r="AP18" s="674">
        <f t="shared" si="1"/>
        <v>0.53846564596273294</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322000000</v>
      </c>
      <c r="AJ19" s="865"/>
      <c r="AK19" s="865"/>
      <c r="AL19" s="865">
        <v>35275431</v>
      </c>
      <c r="AM19" s="865"/>
      <c r="AN19" s="865"/>
      <c r="AO19" s="865"/>
      <c r="AP19" s="671">
        <f t="shared" si="1"/>
        <v>0.10955102795031056</v>
      </c>
      <c r="AQ19" s="671"/>
      <c r="AR19" s="669" t="e">
        <f t="shared" ref="AR19" si="3">SUM(AP19:AQ22)/4</f>
        <v>#DIV/0!</v>
      </c>
    </row>
    <row r="20" spans="2:44" ht="45.4" customHeight="1">
      <c r="B20" s="607" t="s">
        <v>465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v>322000000</v>
      </c>
      <c r="AJ20" s="865"/>
      <c r="AK20" s="865"/>
      <c r="AL20" s="865">
        <v>92244954</v>
      </c>
      <c r="AM20" s="865"/>
      <c r="AN20" s="865"/>
      <c r="AO20" s="865"/>
      <c r="AP20" s="671">
        <f t="shared" si="1"/>
        <v>0.28647501242236023</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75">
        <f>AL15</f>
        <v>34059090</v>
      </c>
      <c r="E23" s="876"/>
      <c r="F23" s="877"/>
      <c r="G23" s="878">
        <f>AL16</f>
        <v>35428734</v>
      </c>
      <c r="H23" s="879"/>
      <c r="I23" s="879"/>
      <c r="J23" s="879"/>
      <c r="K23" s="879"/>
      <c r="L23" s="879"/>
      <c r="M23" s="880"/>
      <c r="N23" s="875">
        <f>AL17</f>
        <v>154721070</v>
      </c>
      <c r="O23" s="876"/>
      <c r="P23" s="876"/>
      <c r="Q23" s="876"/>
      <c r="R23" s="876"/>
      <c r="S23" s="877"/>
      <c r="T23" s="878">
        <f>AL18</f>
        <v>173385938</v>
      </c>
      <c r="U23" s="879"/>
      <c r="V23" s="879"/>
      <c r="W23" s="879"/>
      <c r="X23" s="880"/>
      <c r="Z23" s="52"/>
      <c r="AA23" s="52"/>
    </row>
    <row r="24" spans="2:44" ht="18.95" customHeight="1">
      <c r="B24" s="633" t="s">
        <v>26</v>
      </c>
      <c r="C24" s="633"/>
      <c r="D24" s="875">
        <f>AI15</f>
        <v>322000000</v>
      </c>
      <c r="E24" s="876"/>
      <c r="F24" s="877"/>
      <c r="G24" s="878">
        <f>AI16</f>
        <v>322000000</v>
      </c>
      <c r="H24" s="879"/>
      <c r="I24" s="879"/>
      <c r="J24" s="879"/>
      <c r="K24" s="879"/>
      <c r="L24" s="879"/>
      <c r="M24" s="880"/>
      <c r="N24" s="875">
        <f>AI17</f>
        <v>322000000</v>
      </c>
      <c r="O24" s="876"/>
      <c r="P24" s="876"/>
      <c r="Q24" s="876"/>
      <c r="R24" s="876"/>
      <c r="S24" s="877"/>
      <c r="T24" s="878">
        <f>AI18</f>
        <v>322000000</v>
      </c>
      <c r="U24" s="879"/>
      <c r="V24" s="879"/>
      <c r="W24" s="879"/>
      <c r="X24" s="880"/>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0.10577357142857143</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0.11002712422360249</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0.48050021739130433</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0.53846564596273294</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3">
    <tabColor theme="7"/>
    <pageSetUpPr fitToPage="1"/>
  </sheetPr>
  <dimension ref="B1:AR50"/>
  <sheetViews>
    <sheetView zoomScale="80" zoomScaleNormal="80" zoomScaleSheetLayoutView="100" workbookViewId="0">
      <selection activeCell="AK30" sqref="AK3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89</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40050000</v>
      </c>
      <c r="AJ7" s="866"/>
      <c r="AK7" s="866"/>
      <c r="AL7" s="866">
        <v>10805942.09</v>
      </c>
      <c r="AM7" s="866"/>
      <c r="AN7" s="866"/>
      <c r="AO7" s="866"/>
      <c r="AP7" s="674">
        <f t="shared" ref="AP7:AP10" si="0">AL7/AI7</f>
        <v>0.26981128813982519</v>
      </c>
      <c r="AQ7" s="674"/>
      <c r="AR7" s="668">
        <f>SUM(AP7:AQ10)/4</f>
        <v>0.55247958008739073</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40050000</v>
      </c>
      <c r="AJ8" s="866"/>
      <c r="AK8" s="866"/>
      <c r="AL8" s="866">
        <f>7657338.24+AL7</f>
        <v>18463280.329999998</v>
      </c>
      <c r="AM8" s="866"/>
      <c r="AN8" s="866"/>
      <c r="AO8" s="866"/>
      <c r="AP8" s="674">
        <f t="shared" si="0"/>
        <v>0.46100575106117347</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40050000</v>
      </c>
      <c r="AJ9" s="866"/>
      <c r="AK9" s="866"/>
      <c r="AL9" s="866">
        <f>7695453.45+AL8</f>
        <v>26158733.779999997</v>
      </c>
      <c r="AM9" s="866"/>
      <c r="AN9" s="866"/>
      <c r="AO9" s="866"/>
      <c r="AP9" s="674">
        <f t="shared" si="0"/>
        <v>0.6531519046192259</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40050000</v>
      </c>
      <c r="AJ10" s="866"/>
      <c r="AK10" s="866"/>
      <c r="AL10" s="866">
        <f>6920538.75+AL9</f>
        <v>33079272.529999997</v>
      </c>
      <c r="AM10" s="866"/>
      <c r="AN10" s="866"/>
      <c r="AO10" s="866"/>
      <c r="AP10" s="674">
        <f t="shared" si="0"/>
        <v>0.82594937652933831</v>
      </c>
      <c r="AQ10" s="674"/>
      <c r="AR10" s="668"/>
    </row>
    <row r="11" spans="2:44" ht="38.25" customHeight="1">
      <c r="B11" s="640" t="s">
        <v>180</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40000000</v>
      </c>
      <c r="AJ11" s="865"/>
      <c r="AK11" s="865"/>
      <c r="AL11" s="865">
        <v>6489289.5999999996</v>
      </c>
      <c r="AM11" s="865"/>
      <c r="AN11" s="865"/>
      <c r="AO11" s="865"/>
      <c r="AP11" s="671">
        <f>AL11/AI11</f>
        <v>0.16223224</v>
      </c>
      <c r="AQ11" s="671"/>
      <c r="AR11" s="669">
        <f>SUM(AP11:AQ14)/4</f>
        <v>0.59300057993749988</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40000000</v>
      </c>
      <c r="AJ12" s="865"/>
      <c r="AK12" s="865"/>
      <c r="AL12" s="865">
        <f>20454468.13+AL11</f>
        <v>26943757.729999997</v>
      </c>
      <c r="AM12" s="865"/>
      <c r="AN12" s="865"/>
      <c r="AO12" s="865"/>
      <c r="AP12" s="671">
        <f t="shared" ref="AP12:AP22" si="1">AL12/AI12</f>
        <v>0.67359394324999988</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40000000</v>
      </c>
      <c r="AJ13" s="865"/>
      <c r="AK13" s="865"/>
      <c r="AL13" s="865">
        <f>2466510+AL12</f>
        <v>29410267.729999997</v>
      </c>
      <c r="AM13" s="865"/>
      <c r="AN13" s="865"/>
      <c r="AO13" s="865"/>
      <c r="AP13" s="671">
        <f t="shared" si="1"/>
        <v>0.73525669324999987</v>
      </c>
      <c r="AQ13" s="671"/>
      <c r="AR13" s="669"/>
    </row>
    <row r="14" spans="2:44" ht="45.75" customHeight="1">
      <c r="B14" s="632" t="s">
        <v>410</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40000000</v>
      </c>
      <c r="AJ14" s="865"/>
      <c r="AK14" s="865"/>
      <c r="AL14" s="865">
        <f>2626510+AL13</f>
        <v>32036777.729999997</v>
      </c>
      <c r="AM14" s="865"/>
      <c r="AN14" s="865"/>
      <c r="AO14" s="865"/>
      <c r="AP14" s="671">
        <f t="shared" si="1"/>
        <v>0.80091944324999986</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44000000</v>
      </c>
      <c r="AJ15" s="866"/>
      <c r="AK15" s="866"/>
      <c r="AL15" s="866">
        <v>11775015.460000001</v>
      </c>
      <c r="AM15" s="866"/>
      <c r="AN15" s="866"/>
      <c r="AO15" s="866"/>
      <c r="AP15" s="674">
        <f t="shared" si="1"/>
        <v>0.26761398772727274</v>
      </c>
      <c r="AQ15" s="674"/>
      <c r="AR15" s="668">
        <f t="shared" ref="AR15" si="2">SUM(AP15:AQ18)/4</f>
        <v>0.53297829538770047</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34000000</v>
      </c>
      <c r="AJ16" s="866"/>
      <c r="AK16" s="866"/>
      <c r="AL16" s="866">
        <v>16708035</v>
      </c>
      <c r="AM16" s="866"/>
      <c r="AN16" s="866"/>
      <c r="AO16" s="866"/>
      <c r="AP16" s="674">
        <f t="shared" si="1"/>
        <v>0.49141279411764704</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34000000</v>
      </c>
      <c r="AJ17" s="866"/>
      <c r="AK17" s="866"/>
      <c r="AL17" s="866">
        <v>22903925.460000001</v>
      </c>
      <c r="AM17" s="866"/>
      <c r="AN17" s="866"/>
      <c r="AO17" s="866"/>
      <c r="AP17" s="674">
        <f t="shared" si="1"/>
        <v>0.6736448664705883</v>
      </c>
      <c r="AQ17" s="674"/>
      <c r="AR17" s="668"/>
    </row>
    <row r="18" spans="2:44" ht="28.5" customHeight="1">
      <c r="B18" s="163" t="s">
        <v>355</v>
      </c>
      <c r="C18" s="607" t="s">
        <v>112</v>
      </c>
      <c r="D18" s="608"/>
      <c r="E18" s="644"/>
      <c r="F18" s="644"/>
      <c r="G18" s="632" t="s">
        <v>406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34000000</v>
      </c>
      <c r="AJ18" s="866"/>
      <c r="AK18" s="866"/>
      <c r="AL18" s="866">
        <v>23774212.129999999</v>
      </c>
      <c r="AM18" s="866"/>
      <c r="AN18" s="866"/>
      <c r="AO18" s="866"/>
      <c r="AP18" s="674">
        <f t="shared" si="1"/>
        <v>0.69924153323529403</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34000000</v>
      </c>
      <c r="AJ19" s="865"/>
      <c r="AK19" s="865"/>
      <c r="AL19" s="865">
        <v>12023790</v>
      </c>
      <c r="AM19" s="865"/>
      <c r="AN19" s="865"/>
      <c r="AO19" s="865"/>
      <c r="AP19" s="671">
        <f t="shared" si="1"/>
        <v>0.35364088235294117</v>
      </c>
      <c r="AQ19" s="671"/>
      <c r="AR19" s="669" t="e">
        <f t="shared" ref="AR19" si="3">SUM(AP19:AQ22)/4</f>
        <v>#DIV/0!</v>
      </c>
    </row>
    <row r="20" spans="2:44" ht="45.4" customHeight="1">
      <c r="B20" s="607" t="s">
        <v>465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v>34000000</v>
      </c>
      <c r="AJ20" s="865"/>
      <c r="AK20" s="865"/>
      <c r="AL20" s="865">
        <v>25919316</v>
      </c>
      <c r="AM20" s="865"/>
      <c r="AN20" s="865"/>
      <c r="AO20" s="865"/>
      <c r="AP20" s="671">
        <f t="shared" si="1"/>
        <v>0.76233282352941178</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75">
        <f>AL15</f>
        <v>11775015.460000001</v>
      </c>
      <c r="E23" s="876"/>
      <c r="F23" s="877"/>
      <c r="G23" s="878">
        <f>AL16</f>
        <v>16708035</v>
      </c>
      <c r="H23" s="879"/>
      <c r="I23" s="879"/>
      <c r="J23" s="879"/>
      <c r="K23" s="879"/>
      <c r="L23" s="879"/>
      <c r="M23" s="880"/>
      <c r="N23" s="875">
        <f>AL17</f>
        <v>22903925.460000001</v>
      </c>
      <c r="O23" s="876"/>
      <c r="P23" s="876"/>
      <c r="Q23" s="876"/>
      <c r="R23" s="876"/>
      <c r="S23" s="877"/>
      <c r="T23" s="878">
        <f>AL18</f>
        <v>23774212.129999999</v>
      </c>
      <c r="U23" s="879"/>
      <c r="V23" s="879"/>
      <c r="W23" s="879"/>
      <c r="X23" s="880"/>
      <c r="Z23" s="52"/>
      <c r="AA23" s="52"/>
    </row>
    <row r="24" spans="2:44" ht="18.95" customHeight="1">
      <c r="B24" s="633" t="s">
        <v>26</v>
      </c>
      <c r="C24" s="633"/>
      <c r="D24" s="875">
        <f>AI15</f>
        <v>44000000</v>
      </c>
      <c r="E24" s="876"/>
      <c r="F24" s="877"/>
      <c r="G24" s="878">
        <f>AI16</f>
        <v>34000000</v>
      </c>
      <c r="H24" s="879"/>
      <c r="I24" s="879"/>
      <c r="J24" s="879"/>
      <c r="K24" s="879"/>
      <c r="L24" s="879"/>
      <c r="M24" s="880"/>
      <c r="N24" s="875">
        <f>AI17</f>
        <v>34000000</v>
      </c>
      <c r="O24" s="876"/>
      <c r="P24" s="876"/>
      <c r="Q24" s="876"/>
      <c r="R24" s="876"/>
      <c r="S24" s="877"/>
      <c r="T24" s="878">
        <f>AI18</f>
        <v>34000000</v>
      </c>
      <c r="U24" s="879"/>
      <c r="V24" s="879"/>
      <c r="W24" s="879"/>
      <c r="X24" s="880"/>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0.26761398772727274</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0.49141279411764704</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0.6736448664705883</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0.69924153323529403</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4">
    <tabColor theme="7"/>
    <pageSetUpPr fitToPage="1"/>
  </sheetPr>
  <dimension ref="B1:AR50"/>
  <sheetViews>
    <sheetView topLeftCell="B1" zoomScale="80" zoomScaleNormal="80" zoomScaleSheetLayoutView="100" workbookViewId="0">
      <selection activeCell="AI20" sqref="AI20:AK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89</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0</v>
      </c>
      <c r="AJ7" s="866"/>
      <c r="AK7" s="866"/>
      <c r="AL7" s="866">
        <v>0</v>
      </c>
      <c r="AM7" s="866"/>
      <c r="AN7" s="866"/>
      <c r="AO7" s="866"/>
      <c r="AP7" s="674" t="e">
        <f t="shared" ref="AP7:AP10" si="0">AL7/AI7</f>
        <v>#DIV/0!</v>
      </c>
      <c r="AQ7" s="674"/>
      <c r="AR7" s="668" t="e">
        <f>SUM(AP7:AQ10)/4</f>
        <v>#DIV/0!</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0</v>
      </c>
      <c r="AJ8" s="866"/>
      <c r="AK8" s="866"/>
      <c r="AL8" s="866">
        <v>0</v>
      </c>
      <c r="AM8" s="866"/>
      <c r="AN8" s="866"/>
      <c r="AO8" s="866"/>
      <c r="AP8" s="674" t="e">
        <f t="shared" si="0"/>
        <v>#DIV/0!</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1445000000</v>
      </c>
      <c r="AJ9" s="866"/>
      <c r="AK9" s="866"/>
      <c r="AL9" s="866"/>
      <c r="AM9" s="866"/>
      <c r="AN9" s="866"/>
      <c r="AO9" s="866"/>
      <c r="AP9" s="674">
        <f t="shared" si="0"/>
        <v>0</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1445000000</v>
      </c>
      <c r="AJ10" s="866"/>
      <c r="AK10" s="866"/>
      <c r="AL10" s="866">
        <v>747218824.27999997</v>
      </c>
      <c r="AM10" s="866"/>
      <c r="AN10" s="866"/>
      <c r="AO10" s="866"/>
      <c r="AP10" s="674">
        <f t="shared" si="0"/>
        <v>0.51710645278892731</v>
      </c>
      <c r="AQ10" s="674"/>
      <c r="AR10" s="668"/>
    </row>
    <row r="11" spans="2:44" ht="38.25" customHeight="1">
      <c r="B11" s="640" t="s">
        <v>181</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1900000000</v>
      </c>
      <c r="AJ11" s="865"/>
      <c r="AK11" s="865"/>
      <c r="AL11" s="865">
        <v>485952827</v>
      </c>
      <c r="AM11" s="865"/>
      <c r="AN11" s="865"/>
      <c r="AO11" s="865"/>
      <c r="AP11" s="671">
        <f>AL11/AI11</f>
        <v>0.25576464578947367</v>
      </c>
      <c r="AQ11" s="671"/>
      <c r="AR11" s="669">
        <f>SUM(AP11:AQ14)/4</f>
        <v>0.51407447788051974</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1900000000</v>
      </c>
      <c r="AJ12" s="865"/>
      <c r="AK12" s="865"/>
      <c r="AL12" s="865">
        <f>385123298+AL11</f>
        <v>871076125</v>
      </c>
      <c r="AM12" s="865"/>
      <c r="AN12" s="865"/>
      <c r="AO12" s="865"/>
      <c r="AP12" s="671">
        <f t="shared" ref="AP12:AP22" si="1">AL12/AI12</f>
        <v>0.45846111842105264</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1900000000</v>
      </c>
      <c r="AJ13" s="865"/>
      <c r="AK13" s="865"/>
      <c r="AL13" s="865">
        <f>238564908+AL12</f>
        <v>1109641033</v>
      </c>
      <c r="AM13" s="865"/>
      <c r="AN13" s="865"/>
      <c r="AO13" s="865"/>
      <c r="AP13" s="671">
        <f t="shared" si="1"/>
        <v>0.58402159631578943</v>
      </c>
      <c r="AQ13" s="671"/>
      <c r="AR13" s="669"/>
    </row>
    <row r="14" spans="2:44" ht="44.25" customHeight="1">
      <c r="B14" s="632" t="s">
        <v>411</v>
      </c>
      <c r="C14" s="632"/>
      <c r="D14" s="632"/>
      <c r="E14" s="632"/>
      <c r="F14" s="632"/>
      <c r="G14" s="644" t="s">
        <v>100</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1900000001</v>
      </c>
      <c r="AJ14" s="865"/>
      <c r="AK14" s="865"/>
      <c r="AL14" s="865">
        <f>330655014.65+AL13</f>
        <v>1440296047.6500001</v>
      </c>
      <c r="AM14" s="865"/>
      <c r="AN14" s="865"/>
      <c r="AO14" s="865"/>
      <c r="AP14" s="671">
        <f t="shared" si="1"/>
        <v>0.75805055099576291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5600000000</v>
      </c>
      <c r="AJ15" s="866"/>
      <c r="AK15" s="866"/>
      <c r="AL15" s="866">
        <v>370006343</v>
      </c>
      <c r="AM15" s="866"/>
      <c r="AN15" s="866"/>
      <c r="AO15" s="866"/>
      <c r="AP15" s="674">
        <f t="shared" si="1"/>
        <v>6.6072561249999995E-2</v>
      </c>
      <c r="AQ15" s="674"/>
      <c r="AR15" s="668">
        <f t="shared" ref="AR15" si="2">SUM(AP15:AQ18)/4</f>
        <v>0.16449742257678573</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5600000000</v>
      </c>
      <c r="AJ16" s="866"/>
      <c r="AK16" s="866"/>
      <c r="AL16" s="866">
        <v>336524832</v>
      </c>
      <c r="AM16" s="866"/>
      <c r="AN16" s="866"/>
      <c r="AO16" s="866"/>
      <c r="AP16" s="674">
        <f t="shared" si="1"/>
        <v>6.0093720000000003E-2</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5600000000</v>
      </c>
      <c r="AJ17" s="866"/>
      <c r="AK17" s="866"/>
      <c r="AL17" s="866">
        <v>1388807497.3099999</v>
      </c>
      <c r="AM17" s="866"/>
      <c r="AN17" s="866"/>
      <c r="AO17" s="866"/>
      <c r="AP17" s="674">
        <f t="shared" si="1"/>
        <v>0.24800133880535713</v>
      </c>
      <c r="AQ17" s="674"/>
      <c r="AR17" s="668"/>
    </row>
    <row r="18" spans="2:44" ht="28.5" customHeight="1">
      <c r="B18" s="43"/>
      <c r="C18" s="607" t="s">
        <v>112</v>
      </c>
      <c r="D18" s="608"/>
      <c r="E18" s="644"/>
      <c r="F18" s="644"/>
      <c r="G18" s="632" t="s">
        <v>406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5600000000</v>
      </c>
      <c r="AJ18" s="866"/>
      <c r="AK18" s="866"/>
      <c r="AL18" s="866">
        <v>1589403593.4100001</v>
      </c>
      <c r="AM18" s="866"/>
      <c r="AN18" s="866"/>
      <c r="AO18" s="866"/>
      <c r="AP18" s="674">
        <f t="shared" si="1"/>
        <v>0.28382207025178574</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5600000000</v>
      </c>
      <c r="AJ19" s="865"/>
      <c r="AK19" s="865"/>
      <c r="AL19" s="865">
        <v>385746686.23000002</v>
      </c>
      <c r="AM19" s="865"/>
      <c r="AN19" s="865"/>
      <c r="AO19" s="865"/>
      <c r="AP19" s="671">
        <f t="shared" si="1"/>
        <v>6.8883336826785713E-2</v>
      </c>
      <c r="AQ19" s="671"/>
      <c r="AR19" s="669" t="e">
        <f t="shared" ref="AR19" si="3">SUM(AP19:AQ22)/4</f>
        <v>#DIV/0!</v>
      </c>
    </row>
    <row r="20" spans="2:44" ht="45.4" customHeight="1">
      <c r="B20" s="607" t="s">
        <v>465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v>5600000000</v>
      </c>
      <c r="AJ20" s="865"/>
      <c r="AK20" s="865"/>
      <c r="AL20" s="865">
        <v>886063530.23000002</v>
      </c>
      <c r="AM20" s="865"/>
      <c r="AN20" s="865"/>
      <c r="AO20" s="865"/>
      <c r="AP20" s="671">
        <f t="shared" si="1"/>
        <v>0.1582256303982143</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75">
        <f>AL15</f>
        <v>370006343</v>
      </c>
      <c r="E23" s="876"/>
      <c r="F23" s="877"/>
      <c r="G23" s="878">
        <f>AL16</f>
        <v>336524832</v>
      </c>
      <c r="H23" s="879"/>
      <c r="I23" s="879"/>
      <c r="J23" s="879"/>
      <c r="K23" s="879"/>
      <c r="L23" s="879"/>
      <c r="M23" s="880"/>
      <c r="N23" s="875">
        <f>AL17</f>
        <v>1388807497.3099999</v>
      </c>
      <c r="O23" s="876"/>
      <c r="P23" s="876"/>
      <c r="Q23" s="876"/>
      <c r="R23" s="876"/>
      <c r="S23" s="877"/>
      <c r="T23" s="878">
        <f>AL18</f>
        <v>1589403593.4100001</v>
      </c>
      <c r="U23" s="879"/>
      <c r="V23" s="879"/>
      <c r="W23" s="879"/>
      <c r="X23" s="880"/>
      <c r="Z23" s="52"/>
      <c r="AA23" s="52"/>
    </row>
    <row r="24" spans="2:44" ht="18.95" customHeight="1">
      <c r="B24" s="633" t="s">
        <v>26</v>
      </c>
      <c r="C24" s="633"/>
      <c r="D24" s="875">
        <f>AI15</f>
        <v>5600000000</v>
      </c>
      <c r="E24" s="876"/>
      <c r="F24" s="877"/>
      <c r="G24" s="878">
        <f>AI16</f>
        <v>5600000000</v>
      </c>
      <c r="H24" s="879"/>
      <c r="I24" s="879"/>
      <c r="J24" s="879"/>
      <c r="K24" s="879"/>
      <c r="L24" s="879"/>
      <c r="M24" s="880"/>
      <c r="N24" s="875">
        <f>AI17</f>
        <v>5600000000</v>
      </c>
      <c r="O24" s="876"/>
      <c r="P24" s="876"/>
      <c r="Q24" s="876"/>
      <c r="R24" s="876"/>
      <c r="S24" s="877"/>
      <c r="T24" s="878">
        <f>AI18</f>
        <v>5600000000</v>
      </c>
      <c r="U24" s="879"/>
      <c r="V24" s="879"/>
      <c r="W24" s="879"/>
      <c r="X24" s="880"/>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6.6072561249999995E-2</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6.0093720000000003E-2</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0.24800133880535713</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0.28382207025178574</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5">
    <tabColor rgb="FFFFFF00"/>
    <pageSetUpPr fitToPage="1"/>
  </sheetPr>
  <dimension ref="B1:AR50"/>
  <sheetViews>
    <sheetView zoomScale="80" zoomScaleNormal="80" zoomScaleSheetLayoutView="100" workbookViewId="0">
      <selection activeCell="AS32" sqref="AS3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375" style="46" customWidth="1"/>
    <col min="38" max="43" width="4.625" style="46"/>
    <col min="44" max="44" width="8.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973" t="s">
        <v>145</v>
      </c>
      <c r="AJ5" s="973"/>
      <c r="AK5" s="973"/>
      <c r="AL5" s="973" t="s">
        <v>146</v>
      </c>
      <c r="AM5" s="973"/>
      <c r="AN5" s="973"/>
      <c r="AO5" s="973"/>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973"/>
      <c r="AJ6" s="973"/>
      <c r="AK6" s="973"/>
      <c r="AL6" s="973"/>
      <c r="AM6" s="973"/>
      <c r="AN6" s="973"/>
      <c r="AO6" s="973"/>
      <c r="AP6" s="676"/>
      <c r="AQ6" s="676"/>
      <c r="AR6" s="678"/>
    </row>
    <row r="7" spans="2:44" ht="14.25" customHeight="1">
      <c r="B7" s="645" t="s">
        <v>76</v>
      </c>
      <c r="C7" s="646"/>
      <c r="D7" s="646"/>
      <c r="E7" s="646"/>
      <c r="F7" s="647"/>
      <c r="G7" s="651" t="s">
        <v>90</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82">
        <v>7942245639</v>
      </c>
      <c r="AJ7" s="882"/>
      <c r="AK7" s="882"/>
      <c r="AL7" s="882">
        <v>7436089790</v>
      </c>
      <c r="AM7" s="882"/>
      <c r="AN7" s="882"/>
      <c r="AO7" s="882"/>
      <c r="AP7" s="674">
        <f t="shared" ref="AP7:AP10" si="0">AL7/AI7</f>
        <v>0.93627043634680007</v>
      </c>
      <c r="AQ7" s="674"/>
      <c r="AR7" s="668">
        <f>SUM(AP7:AQ10)/4</f>
        <v>0.99034787804578839</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82">
        <v>7806629373</v>
      </c>
      <c r="AJ8" s="882"/>
      <c r="AK8" s="882"/>
      <c r="AL8" s="882">
        <v>7875893370</v>
      </c>
      <c r="AM8" s="882"/>
      <c r="AN8" s="882"/>
      <c r="AO8" s="882"/>
      <c r="AP8" s="674">
        <f t="shared" si="0"/>
        <v>1.0088724587386659</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82">
        <v>8096586693</v>
      </c>
      <c r="AJ9" s="882"/>
      <c r="AK9" s="882"/>
      <c r="AL9" s="882">
        <v>7960957780</v>
      </c>
      <c r="AM9" s="882"/>
      <c r="AN9" s="882"/>
      <c r="AO9" s="882"/>
      <c r="AP9" s="674">
        <f t="shared" si="0"/>
        <v>0.98324863079434943</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82">
        <v>7857170049</v>
      </c>
      <c r="AJ10" s="882"/>
      <c r="AK10" s="882"/>
      <c r="AL10" s="882">
        <v>8116456553</v>
      </c>
      <c r="AM10" s="882"/>
      <c r="AN10" s="882"/>
      <c r="AO10" s="882"/>
      <c r="AP10" s="674">
        <f t="shared" si="0"/>
        <v>1.0329999863033383</v>
      </c>
      <c r="AQ10" s="674"/>
      <c r="AR10" s="668"/>
    </row>
    <row r="11" spans="2:44" ht="38.25" customHeight="1">
      <c r="B11" s="640" t="s">
        <v>182</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82">
        <v>7506875956</v>
      </c>
      <c r="AJ11" s="882"/>
      <c r="AK11" s="882"/>
      <c r="AL11" s="882">
        <v>7500457803</v>
      </c>
      <c r="AM11" s="882"/>
      <c r="AN11" s="882"/>
      <c r="AO11" s="882"/>
      <c r="AP11" s="671">
        <f>AL11/AI11</f>
        <v>0.999145030098057</v>
      </c>
      <c r="AQ11" s="671"/>
      <c r="AR11" s="669">
        <f>SUM(AP11:AQ14)/4</f>
        <v>0.99039421061693678</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82">
        <v>8916650009</v>
      </c>
      <c r="AJ12" s="882"/>
      <c r="AK12" s="882"/>
      <c r="AL12" s="882">
        <v>8804549857</v>
      </c>
      <c r="AM12" s="882"/>
      <c r="AN12" s="882"/>
      <c r="AO12" s="882"/>
      <c r="AP12" s="671">
        <f t="shared" ref="AP12:AP22" si="1">AL12/AI12</f>
        <v>0.98742799685006677</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82">
        <v>8505478952</v>
      </c>
      <c r="AJ13" s="882"/>
      <c r="AK13" s="882"/>
      <c r="AL13" s="882">
        <v>8505478952</v>
      </c>
      <c r="AM13" s="882"/>
      <c r="AN13" s="882"/>
      <c r="AO13" s="882"/>
      <c r="AP13" s="671">
        <f t="shared" si="1"/>
        <v>1</v>
      </c>
      <c r="AQ13" s="671"/>
      <c r="AR13" s="669"/>
    </row>
    <row r="14" spans="2:44" ht="29.25" customHeight="1">
      <c r="B14" s="632" t="s">
        <v>375</v>
      </c>
      <c r="C14" s="632"/>
      <c r="D14" s="632"/>
      <c r="E14" s="632"/>
      <c r="F14" s="632"/>
      <c r="G14" s="644" t="s">
        <v>99</v>
      </c>
      <c r="H14" s="644"/>
      <c r="I14" s="644"/>
      <c r="J14" s="644"/>
      <c r="K14" s="644"/>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82">
        <v>7498546154</v>
      </c>
      <c r="AJ14" s="882"/>
      <c r="AK14" s="882"/>
      <c r="AL14" s="882">
        <v>7311111111</v>
      </c>
      <c r="AM14" s="882"/>
      <c r="AN14" s="882"/>
      <c r="AO14" s="882"/>
      <c r="AP14" s="671">
        <f t="shared" si="1"/>
        <v>0.97500381551962367</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82">
        <v>11629212096.879999</v>
      </c>
      <c r="AJ15" s="882"/>
      <c r="AK15" s="882"/>
      <c r="AL15" s="882">
        <v>8441287871.04</v>
      </c>
      <c r="AM15" s="882"/>
      <c r="AN15" s="882"/>
      <c r="AO15" s="882"/>
      <c r="AP15" s="674">
        <f t="shared" si="1"/>
        <v>0.72586928510012405</v>
      </c>
      <c r="AQ15" s="674"/>
      <c r="AR15" s="668">
        <f t="shared" ref="AR15" si="2">SUM(AP15:AQ18)/4</f>
        <v>1.021909640639759</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82">
        <v>8453626782.6499996</v>
      </c>
      <c r="AJ16" s="882"/>
      <c r="AK16" s="882"/>
      <c r="AL16" s="882">
        <v>11529450484.17</v>
      </c>
      <c r="AM16" s="882"/>
      <c r="AN16" s="882"/>
      <c r="AO16" s="882"/>
      <c r="AP16" s="674">
        <f t="shared" si="1"/>
        <v>1.3638466400992222</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82">
        <v>8742399776.9799995</v>
      </c>
      <c r="AJ17" s="882"/>
      <c r="AK17" s="882"/>
      <c r="AL17" s="882">
        <v>8567276956.8299999</v>
      </c>
      <c r="AM17" s="882"/>
      <c r="AN17" s="882"/>
      <c r="AO17" s="882"/>
      <c r="AP17" s="674">
        <f t="shared" si="1"/>
        <v>0.97996856416803046</v>
      </c>
      <c r="AQ17" s="674"/>
      <c r="AR17" s="668"/>
    </row>
    <row r="18" spans="2:44" ht="28.5" customHeight="1">
      <c r="B18" s="43" t="s">
        <v>354</v>
      </c>
      <c r="C18" s="607" t="s">
        <v>112</v>
      </c>
      <c r="D18" s="608"/>
      <c r="E18" s="644"/>
      <c r="F18" s="644"/>
      <c r="G18" s="632" t="s">
        <v>373</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82">
        <v>10301664397.02</v>
      </c>
      <c r="AJ18" s="882"/>
      <c r="AK18" s="882"/>
      <c r="AL18" s="882">
        <v>10486621233.6</v>
      </c>
      <c r="AM18" s="882"/>
      <c r="AN18" s="882"/>
      <c r="AO18" s="882"/>
      <c r="AP18" s="674">
        <f t="shared" si="1"/>
        <v>1.0179540731916585</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81">
        <v>13631142902.049999</v>
      </c>
      <c r="AJ19" s="881"/>
      <c r="AK19" s="881"/>
      <c r="AL19" s="881">
        <v>12783469023.379999</v>
      </c>
      <c r="AM19" s="881"/>
      <c r="AN19" s="881"/>
      <c r="AO19" s="881"/>
      <c r="AP19" s="671">
        <f t="shared" si="1"/>
        <v>0.93781344053384419</v>
      </c>
      <c r="AQ19" s="671"/>
      <c r="AR19" s="669" t="e">
        <f t="shared" ref="AR19" si="3">SUM(AP19:AQ22)/4</f>
        <v>#DIV/0!</v>
      </c>
    </row>
    <row r="20" spans="2:44" ht="45.4" customHeight="1">
      <c r="B20" s="607" t="s">
        <v>374</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81"/>
      <c r="AJ20" s="881"/>
      <c r="AK20" s="881"/>
      <c r="AL20" s="881"/>
      <c r="AM20" s="881"/>
      <c r="AN20" s="881"/>
      <c r="AO20" s="881"/>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81"/>
      <c r="AJ21" s="881"/>
      <c r="AK21" s="881"/>
      <c r="AL21" s="881"/>
      <c r="AM21" s="881"/>
      <c r="AN21" s="881"/>
      <c r="AO21" s="881"/>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81"/>
      <c r="AJ22" s="881"/>
      <c r="AK22" s="881"/>
      <c r="AL22" s="881"/>
      <c r="AM22" s="881"/>
      <c r="AN22" s="881"/>
      <c r="AO22" s="881"/>
      <c r="AP22" s="671" t="e">
        <f t="shared" si="1"/>
        <v>#DIV/0!</v>
      </c>
      <c r="AQ22" s="671"/>
      <c r="AR22" s="669"/>
    </row>
    <row r="23" spans="2:44" ht="18.95" customHeight="1">
      <c r="B23" s="633" t="s">
        <v>25</v>
      </c>
      <c r="C23" s="633"/>
      <c r="D23" s="875">
        <f>AL15</f>
        <v>8441287871.04</v>
      </c>
      <c r="E23" s="876"/>
      <c r="F23" s="877"/>
      <c r="G23" s="878">
        <f>AL16</f>
        <v>11529450484.17</v>
      </c>
      <c r="H23" s="879"/>
      <c r="I23" s="879"/>
      <c r="J23" s="879"/>
      <c r="K23" s="879"/>
      <c r="L23" s="879"/>
      <c r="M23" s="880"/>
      <c r="N23" s="875">
        <f>AL17</f>
        <v>8567276956.8299999</v>
      </c>
      <c r="O23" s="876"/>
      <c r="P23" s="876"/>
      <c r="Q23" s="876"/>
      <c r="R23" s="876"/>
      <c r="S23" s="877"/>
      <c r="T23" s="878">
        <f>AL18</f>
        <v>10486621233.6</v>
      </c>
      <c r="U23" s="879"/>
      <c r="V23" s="879"/>
      <c r="W23" s="879"/>
      <c r="X23" s="880"/>
      <c r="Z23" s="52"/>
      <c r="AA23" s="52"/>
    </row>
    <row r="24" spans="2:44" ht="18.95" customHeight="1">
      <c r="B24" s="633" t="s">
        <v>26</v>
      </c>
      <c r="C24" s="633"/>
      <c r="D24" s="875">
        <f>AI15</f>
        <v>11629212096.879999</v>
      </c>
      <c r="E24" s="876"/>
      <c r="F24" s="877"/>
      <c r="G24" s="878">
        <f>AI16</f>
        <v>8453626782.6499996</v>
      </c>
      <c r="H24" s="879"/>
      <c r="I24" s="879"/>
      <c r="J24" s="879"/>
      <c r="K24" s="879"/>
      <c r="L24" s="879"/>
      <c r="M24" s="880"/>
      <c r="N24" s="875">
        <f>AI17</f>
        <v>8742399776.9799995</v>
      </c>
      <c r="O24" s="876"/>
      <c r="P24" s="876"/>
      <c r="Q24" s="876"/>
      <c r="R24" s="876"/>
      <c r="S24" s="877"/>
      <c r="T24" s="878">
        <f>AI18</f>
        <v>10301664397.02</v>
      </c>
      <c r="U24" s="879"/>
      <c r="V24" s="879"/>
      <c r="W24" s="879"/>
      <c r="X24" s="880"/>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0.72586928510012405</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1.3638466400992222</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0.97996856416803046</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1.0179540731916585</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C36:C38"/>
    <mergeCell ref="D36:D38"/>
    <mergeCell ref="W5:X5"/>
    <mergeCell ref="B11:X11"/>
    <mergeCell ref="S14:U14"/>
    <mergeCell ref="V14:X14"/>
    <mergeCell ref="V18:X18"/>
    <mergeCell ref="T22:U22"/>
    <mergeCell ref="V22:W22"/>
    <mergeCell ref="B24:C24"/>
    <mergeCell ref="B23:C23"/>
    <mergeCell ref="D23:F23"/>
    <mergeCell ref="G23:M23"/>
    <mergeCell ref="N23:S23"/>
    <mergeCell ref="T23:X23"/>
    <mergeCell ref="D24:F24"/>
    <mergeCell ref="G24:M24"/>
    <mergeCell ref="N24:S24"/>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O14:R14"/>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6">
    <tabColor theme="2" tint="-0.499984740745262"/>
    <pageSetUpPr fitToPage="1"/>
  </sheetPr>
  <dimension ref="B1:AV50"/>
  <sheetViews>
    <sheetView zoomScale="90" zoomScaleNormal="90" zoomScaleSheetLayoutView="100" workbookViewId="0">
      <selection activeCell="AB29" sqref="AB29"/>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7" style="46" customWidth="1"/>
    <col min="38" max="43" width="4.625" style="46"/>
    <col min="44" max="44" width="8.25" style="23" customWidth="1"/>
    <col min="45" max="47" width="4.625" style="23"/>
    <col min="48" max="48" width="31.25" style="23" customWidth="1"/>
    <col min="49"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81"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96</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c r="AJ7" s="866"/>
      <c r="AK7" s="866"/>
      <c r="AL7" s="866"/>
      <c r="AM7" s="866"/>
      <c r="AN7" s="866"/>
      <c r="AO7" s="866"/>
      <c r="AP7" s="674" t="e">
        <f t="shared" ref="AP7:AP10" si="0">AL7/AI7</f>
        <v>#DIV/0!</v>
      </c>
      <c r="AQ7" s="674"/>
      <c r="AR7" s="668" t="e">
        <f>SUM(AP7:AQ10)/4</f>
        <v>#DIV/0!</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c r="AJ8" s="866"/>
      <c r="AK8" s="866"/>
      <c r="AL8" s="866"/>
      <c r="AM8" s="866"/>
      <c r="AN8" s="866"/>
      <c r="AO8" s="866"/>
      <c r="AP8" s="674" t="e">
        <f t="shared" si="0"/>
        <v>#DIV/0!</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c r="AJ9" s="866"/>
      <c r="AK9" s="866"/>
      <c r="AL9" s="866"/>
      <c r="AM9" s="866"/>
      <c r="AN9" s="866"/>
      <c r="AO9" s="866"/>
      <c r="AP9" s="674" t="e">
        <f t="shared" si="0"/>
        <v>#DIV/0!</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23008503508</v>
      </c>
      <c r="AJ10" s="866"/>
      <c r="AK10" s="866"/>
      <c r="AL10" s="866">
        <v>23008503508</v>
      </c>
      <c r="AM10" s="866"/>
      <c r="AN10" s="866"/>
      <c r="AO10" s="866"/>
      <c r="AP10" s="674">
        <f t="shared" si="0"/>
        <v>1</v>
      </c>
      <c r="AQ10" s="674"/>
      <c r="AR10" s="668"/>
    </row>
    <row r="11" spans="2:44" ht="38.25" customHeight="1">
      <c r="B11" s="640" t="s">
        <v>183</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4492939799</v>
      </c>
      <c r="AJ11" s="865"/>
      <c r="AK11" s="865"/>
      <c r="AL11" s="865">
        <v>4492939799</v>
      </c>
      <c r="AM11" s="865"/>
      <c r="AN11" s="865"/>
      <c r="AO11" s="865"/>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3734568364</v>
      </c>
      <c r="AJ12" s="865"/>
      <c r="AK12" s="865"/>
      <c r="AL12" s="865">
        <v>3734568364</v>
      </c>
      <c r="AM12" s="865"/>
      <c r="AN12" s="865"/>
      <c r="AO12" s="865"/>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1171490460</v>
      </c>
      <c r="AJ13" s="865"/>
      <c r="AK13" s="865"/>
      <c r="AL13" s="865">
        <v>1171490460</v>
      </c>
      <c r="AM13" s="865"/>
      <c r="AN13" s="865"/>
      <c r="AO13" s="865"/>
      <c r="AP13" s="671">
        <f t="shared" si="1"/>
        <v>1</v>
      </c>
      <c r="AQ13" s="671"/>
      <c r="AR13" s="669"/>
    </row>
    <row r="14" spans="2:44" ht="29.25" customHeight="1">
      <c r="B14" s="632" t="s">
        <v>315</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8221222552</v>
      </c>
      <c r="AJ14" s="865"/>
      <c r="AK14" s="865"/>
      <c r="AL14" s="865">
        <v>8221222552</v>
      </c>
      <c r="AM14" s="865"/>
      <c r="AN14" s="865"/>
      <c r="AO14" s="865"/>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3147790319</v>
      </c>
      <c r="AJ15" s="866"/>
      <c r="AK15" s="866"/>
      <c r="AL15" s="866">
        <v>3147790319</v>
      </c>
      <c r="AM15" s="866"/>
      <c r="AN15" s="866"/>
      <c r="AO15" s="866"/>
      <c r="AP15" s="674">
        <f t="shared" si="1"/>
        <v>1</v>
      </c>
      <c r="AQ15" s="674"/>
      <c r="AR15" s="668">
        <f t="shared" ref="AR15" si="2">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2527417367.2600002</v>
      </c>
      <c r="AJ16" s="866"/>
      <c r="AK16" s="866"/>
      <c r="AL16" s="866">
        <v>2527417367.2600002</v>
      </c>
      <c r="AM16" s="866"/>
      <c r="AN16" s="866"/>
      <c r="AO16" s="866"/>
      <c r="AP16" s="674">
        <f t="shared" si="1"/>
        <v>1</v>
      </c>
      <c r="AQ16" s="674"/>
      <c r="AR16" s="668"/>
    </row>
    <row r="17" spans="2:48"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8345689214</v>
      </c>
      <c r="AJ17" s="866"/>
      <c r="AK17" s="866"/>
      <c r="AL17" s="866">
        <v>8345689214</v>
      </c>
      <c r="AM17" s="866"/>
      <c r="AN17" s="866"/>
      <c r="AO17" s="866"/>
      <c r="AP17" s="674">
        <f t="shared" si="1"/>
        <v>1</v>
      </c>
      <c r="AQ17" s="674"/>
      <c r="AR17" s="668"/>
    </row>
    <row r="18" spans="2:48" ht="28.5" customHeight="1">
      <c r="B18" s="82" t="s">
        <v>188</v>
      </c>
      <c r="C18" s="607" t="s">
        <v>112</v>
      </c>
      <c r="D18" s="608"/>
      <c r="E18" s="644">
        <v>1</v>
      </c>
      <c r="F18" s="644"/>
      <c r="G18" s="632" t="s">
        <v>316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5650521402.5</v>
      </c>
      <c r="AJ18" s="866"/>
      <c r="AK18" s="866"/>
      <c r="AL18" s="866">
        <v>5650521402.5</v>
      </c>
      <c r="AM18" s="866"/>
      <c r="AN18" s="866"/>
      <c r="AO18" s="866"/>
      <c r="AP18" s="674">
        <f t="shared" si="1"/>
        <v>1</v>
      </c>
      <c r="AQ18" s="674"/>
      <c r="AR18" s="668"/>
      <c r="AV18" s="196"/>
    </row>
    <row r="19" spans="2:48"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v>2383885494.1599998</v>
      </c>
      <c r="AJ19" s="865"/>
      <c r="AK19" s="865"/>
      <c r="AL19" s="865">
        <v>2383885494.1599998</v>
      </c>
      <c r="AM19" s="865"/>
      <c r="AN19" s="865"/>
      <c r="AO19" s="865"/>
      <c r="AP19" s="671">
        <f t="shared" si="1"/>
        <v>1</v>
      </c>
      <c r="AQ19" s="671"/>
      <c r="AR19" s="669" t="e">
        <f t="shared" ref="AR19" si="3">SUM(AP19:AQ22)/4</f>
        <v>#DIV/0!</v>
      </c>
      <c r="AV19" s="196"/>
    </row>
    <row r="20" spans="2:48" ht="45.4" customHeight="1">
      <c r="B20" s="607" t="s">
        <v>317</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v>10879728181.09</v>
      </c>
      <c r="AJ20" s="865"/>
      <c r="AK20" s="865"/>
      <c r="AL20" s="865">
        <v>10879728181.09</v>
      </c>
      <c r="AM20" s="865"/>
      <c r="AN20" s="865"/>
      <c r="AO20" s="865"/>
      <c r="AP20" s="671">
        <f t="shared" si="1"/>
        <v>1</v>
      </c>
      <c r="AQ20" s="671"/>
      <c r="AR20" s="669"/>
      <c r="AV20" s="195"/>
    </row>
    <row r="21" spans="2:48"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8"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8" ht="18.95" customHeight="1">
      <c r="B23" s="633" t="s">
        <v>25</v>
      </c>
      <c r="C23" s="633"/>
      <c r="D23" s="859">
        <f>AL15</f>
        <v>3147790319</v>
      </c>
      <c r="E23" s="860"/>
      <c r="F23" s="861"/>
      <c r="G23" s="862">
        <f>AL16</f>
        <v>2527417367.2600002</v>
      </c>
      <c r="H23" s="863"/>
      <c r="I23" s="863"/>
      <c r="J23" s="863"/>
      <c r="K23" s="863"/>
      <c r="L23" s="863"/>
      <c r="M23" s="864"/>
      <c r="N23" s="859">
        <f>AL17</f>
        <v>8345689214</v>
      </c>
      <c r="O23" s="860"/>
      <c r="P23" s="860"/>
      <c r="Q23" s="860"/>
      <c r="R23" s="860"/>
      <c r="S23" s="861"/>
      <c r="T23" s="862">
        <f>AL18</f>
        <v>5650521402.5</v>
      </c>
      <c r="U23" s="863"/>
      <c r="V23" s="863"/>
      <c r="W23" s="863"/>
      <c r="X23" s="864"/>
      <c r="Z23" s="52"/>
      <c r="AA23" s="52"/>
    </row>
    <row r="24" spans="2:48" ht="18.95" customHeight="1">
      <c r="B24" s="633" t="s">
        <v>26</v>
      </c>
      <c r="C24" s="633"/>
      <c r="D24" s="859">
        <f>AI15</f>
        <v>3147790319</v>
      </c>
      <c r="E24" s="860"/>
      <c r="F24" s="861"/>
      <c r="G24" s="862">
        <f>AI16</f>
        <v>2527417367.2600002</v>
      </c>
      <c r="H24" s="863"/>
      <c r="I24" s="863"/>
      <c r="J24" s="863"/>
      <c r="K24" s="863"/>
      <c r="L24" s="863"/>
      <c r="M24" s="864"/>
      <c r="N24" s="859">
        <f>AI17</f>
        <v>8345689214</v>
      </c>
      <c r="O24" s="860"/>
      <c r="P24" s="860"/>
      <c r="Q24" s="860"/>
      <c r="R24" s="860"/>
      <c r="S24" s="861"/>
      <c r="T24" s="862">
        <f>AI18</f>
        <v>5650521402.5</v>
      </c>
      <c r="U24" s="863"/>
      <c r="V24" s="863"/>
      <c r="W24" s="863"/>
      <c r="X24" s="864"/>
      <c r="Y24" s="53"/>
    </row>
    <row r="25" spans="2:48"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8"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8"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8"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8"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8" ht="17.649999999999999" customHeight="1">
      <c r="B30" s="93" t="s">
        <v>34</v>
      </c>
      <c r="C30" s="686">
        <f>IF(ISERROR($G$23/$G$24),0,$G$23/$G$24)</f>
        <v>1</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8"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8"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O14:R14"/>
    <mergeCell ref="S14:U14"/>
    <mergeCell ref="V14:X14"/>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T22:U22"/>
    <mergeCell ref="V22:W22"/>
    <mergeCell ref="AD22:AH22"/>
    <mergeCell ref="AI22:AK22"/>
    <mergeCell ref="AL22:AO22"/>
    <mergeCell ref="T23:X23"/>
    <mergeCell ref="D24:F24"/>
    <mergeCell ref="G24:M24"/>
    <mergeCell ref="N24:S24"/>
    <mergeCell ref="T24:X24"/>
    <mergeCell ref="AP22:AQ22"/>
    <mergeCell ref="B21:X21"/>
    <mergeCell ref="AD21:AH21"/>
    <mergeCell ref="AI21:AK21"/>
    <mergeCell ref="AL21:AO21"/>
    <mergeCell ref="AP21:AQ21"/>
    <mergeCell ref="B22:C22"/>
    <mergeCell ref="G22:I22"/>
    <mergeCell ref="K22:M22"/>
    <mergeCell ref="O22:P22"/>
    <mergeCell ref="Q22:S22"/>
    <mergeCell ref="P31:R31"/>
    <mergeCell ref="N28:O28"/>
    <mergeCell ref="P28:R28"/>
    <mergeCell ref="H29:I29"/>
    <mergeCell ref="J29:K29"/>
    <mergeCell ref="N29:O29"/>
    <mergeCell ref="P29:R29"/>
    <mergeCell ref="B24:C24"/>
    <mergeCell ref="B23:C23"/>
    <mergeCell ref="D23:F23"/>
    <mergeCell ref="G23:M23"/>
    <mergeCell ref="N23:S2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'C:\Users\lorenar\Desktop\[Adquisiones.xlsx]Hoja1'!#REF!</xm:f>
          </x14:formula1>
          <xm:sqref>C18:D18</xm:sqref>
        </x14:dataValidation>
        <x14:dataValidation type="list" allowBlank="1" showInputMessage="1" showErrorMessage="1">
          <x14:formula1>
            <xm:f>'C:\Users\lorenar\Desktop\[Adquisiones.xlsx]Hoja1'!#REF!</xm:f>
          </x14:formula1>
          <xm:sqref>G14:J14</xm:sqref>
        </x14:dataValidation>
        <x14:dataValidation type="list" allowBlank="1" showInputMessage="1" showErrorMessage="1">
          <x14:formula1>
            <xm:f>Hoja1!$A$3:$A$24</xm:f>
          </x14:formula1>
          <xm:sqref>G7:X8</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7">
    <tabColor theme="2" tint="-0.499984740745262"/>
    <pageSetUpPr fitToPage="1"/>
  </sheetPr>
  <dimension ref="B1:AW50"/>
  <sheetViews>
    <sheetView zoomScale="90" zoomScaleNormal="90" zoomScaleSheetLayoutView="100" workbookViewId="0">
      <selection activeCell="AL21" sqref="AL21:AO2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48" width="4.625" style="23"/>
    <col min="49" max="49" width="20.375" style="23" customWidth="1"/>
    <col min="50" max="16384" width="4.625" style="23"/>
  </cols>
  <sheetData>
    <row r="1" spans="2:49"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9"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9"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9"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9" s="41" customFormat="1" ht="14.25" customHeight="1">
      <c r="B5" s="81"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9"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9" ht="14.25" customHeight="1">
      <c r="B7" s="645" t="s">
        <v>76</v>
      </c>
      <c r="C7" s="646"/>
      <c r="D7" s="646"/>
      <c r="E7" s="646"/>
      <c r="F7" s="647"/>
      <c r="G7" s="651" t="s">
        <v>96</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95">
        <v>213</v>
      </c>
      <c r="AJ7" s="696"/>
      <c r="AK7" s="697"/>
      <c r="AL7" s="695">
        <v>213</v>
      </c>
      <c r="AM7" s="696"/>
      <c r="AN7" s="696"/>
      <c r="AO7" s="697"/>
      <c r="AP7" s="705">
        <f>AL7/AI7</f>
        <v>1</v>
      </c>
      <c r="AQ7" s="706"/>
      <c r="AR7" s="668">
        <f>SUM(AP7)</f>
        <v>1</v>
      </c>
    </row>
    <row r="8" spans="2:49"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98"/>
      <c r="AJ8" s="699"/>
      <c r="AK8" s="700"/>
      <c r="AL8" s="698"/>
      <c r="AM8" s="699"/>
      <c r="AN8" s="699"/>
      <c r="AO8" s="700"/>
      <c r="AP8" s="707"/>
      <c r="AQ8" s="708"/>
      <c r="AR8" s="668"/>
    </row>
    <row r="9" spans="2:49"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98"/>
      <c r="AJ9" s="699"/>
      <c r="AK9" s="700"/>
      <c r="AL9" s="698"/>
      <c r="AM9" s="699"/>
      <c r="AN9" s="699"/>
      <c r="AO9" s="700"/>
      <c r="AP9" s="707"/>
      <c r="AQ9" s="708"/>
      <c r="AR9" s="668"/>
    </row>
    <row r="10" spans="2:49"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701"/>
      <c r="AJ10" s="702"/>
      <c r="AK10" s="703"/>
      <c r="AL10" s="701"/>
      <c r="AM10" s="702"/>
      <c r="AN10" s="702"/>
      <c r="AO10" s="703"/>
      <c r="AP10" s="709"/>
      <c r="AQ10" s="710"/>
      <c r="AR10" s="668"/>
    </row>
    <row r="11" spans="2:49" ht="38.25" customHeight="1">
      <c r="B11" s="640" t="s">
        <v>184</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83</v>
      </c>
      <c r="AJ11" s="672"/>
      <c r="AK11" s="672"/>
      <c r="AL11" s="672">
        <v>83</v>
      </c>
      <c r="AM11" s="672"/>
      <c r="AN11" s="672"/>
      <c r="AO11" s="672"/>
      <c r="AP11" s="671">
        <f>AL11/AI11</f>
        <v>1</v>
      </c>
      <c r="AQ11" s="671"/>
      <c r="AR11" s="669">
        <f>SUM(AP11:AQ14)/4</f>
        <v>1</v>
      </c>
    </row>
    <row r="12" spans="2:49"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22</v>
      </c>
      <c r="AJ12" s="672"/>
      <c r="AK12" s="672"/>
      <c r="AL12" s="672">
        <v>22</v>
      </c>
      <c r="AM12" s="672"/>
      <c r="AN12" s="672"/>
      <c r="AO12" s="672"/>
      <c r="AP12" s="671">
        <f t="shared" ref="AP12:AP22" si="0">AL12/AI12</f>
        <v>1</v>
      </c>
      <c r="AQ12" s="671"/>
      <c r="AR12" s="669"/>
    </row>
    <row r="13" spans="2:49"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20</v>
      </c>
      <c r="AJ13" s="672"/>
      <c r="AK13" s="672"/>
      <c r="AL13" s="672">
        <v>20</v>
      </c>
      <c r="AM13" s="672"/>
      <c r="AN13" s="672"/>
      <c r="AO13" s="672"/>
      <c r="AP13" s="671">
        <f t="shared" si="0"/>
        <v>1</v>
      </c>
      <c r="AQ13" s="671"/>
      <c r="AR13" s="669"/>
    </row>
    <row r="14" spans="2:49" ht="29.25" customHeight="1">
      <c r="B14" s="632" t="s">
        <v>318</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50</v>
      </c>
      <c r="AJ14" s="672"/>
      <c r="AK14" s="672"/>
      <c r="AL14" s="672">
        <v>50</v>
      </c>
      <c r="AM14" s="672"/>
      <c r="AN14" s="672"/>
      <c r="AO14" s="672"/>
      <c r="AP14" s="671">
        <f t="shared" si="0"/>
        <v>1</v>
      </c>
      <c r="AQ14" s="671"/>
      <c r="AR14" s="669"/>
      <c r="AW14" s="85"/>
    </row>
    <row r="15" spans="2:49"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103</v>
      </c>
      <c r="AJ15" s="673"/>
      <c r="AK15" s="673"/>
      <c r="AL15" s="673">
        <v>103</v>
      </c>
      <c r="AM15" s="673"/>
      <c r="AN15" s="673"/>
      <c r="AO15" s="673"/>
      <c r="AP15" s="674">
        <f t="shared" si="0"/>
        <v>1</v>
      </c>
      <c r="AQ15" s="674"/>
      <c r="AR15" s="668">
        <f t="shared" ref="AR15" si="1">SUM(AP15:AQ18)/4</f>
        <v>1</v>
      </c>
      <c r="AW15" s="85"/>
    </row>
    <row r="16" spans="2:49"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36</v>
      </c>
      <c r="AJ16" s="673"/>
      <c r="AK16" s="673"/>
      <c r="AL16" s="673">
        <v>36</v>
      </c>
      <c r="AM16" s="673"/>
      <c r="AN16" s="673"/>
      <c r="AO16" s="673"/>
      <c r="AP16" s="674">
        <f t="shared" si="0"/>
        <v>1</v>
      </c>
      <c r="AQ16" s="674"/>
      <c r="AR16" s="668"/>
      <c r="AW16" s="85"/>
    </row>
    <row r="17" spans="2:49"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v>45</v>
      </c>
      <c r="AJ17" s="673"/>
      <c r="AK17" s="673"/>
      <c r="AL17" s="673">
        <v>45</v>
      </c>
      <c r="AM17" s="673"/>
      <c r="AN17" s="673"/>
      <c r="AO17" s="673"/>
      <c r="AP17" s="674">
        <f t="shared" si="0"/>
        <v>1</v>
      </c>
      <c r="AQ17" s="674"/>
      <c r="AR17" s="668"/>
    </row>
    <row r="18" spans="2:49" ht="28.5" customHeight="1">
      <c r="B18" s="82" t="s">
        <v>195</v>
      </c>
      <c r="C18" s="607" t="s">
        <v>112</v>
      </c>
      <c r="D18" s="608"/>
      <c r="E18" s="644">
        <v>1</v>
      </c>
      <c r="F18" s="644"/>
      <c r="G18" s="632" t="s">
        <v>316</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v>52</v>
      </c>
      <c r="AJ18" s="673"/>
      <c r="AK18" s="673"/>
      <c r="AL18" s="673">
        <v>52</v>
      </c>
      <c r="AM18" s="673"/>
      <c r="AN18" s="673"/>
      <c r="AO18" s="673"/>
      <c r="AP18" s="674">
        <f t="shared" si="0"/>
        <v>1</v>
      </c>
      <c r="AQ18" s="674"/>
      <c r="AR18" s="668"/>
      <c r="AW18" s="85"/>
    </row>
    <row r="19" spans="2:49"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v>84</v>
      </c>
      <c r="AJ19" s="672"/>
      <c r="AK19" s="672"/>
      <c r="AL19" s="672">
        <v>84</v>
      </c>
      <c r="AM19" s="672"/>
      <c r="AN19" s="672"/>
      <c r="AO19" s="672"/>
      <c r="AP19" s="671">
        <f t="shared" si="0"/>
        <v>1</v>
      </c>
      <c r="AQ19" s="671"/>
      <c r="AR19" s="669" t="e">
        <f t="shared" ref="AR19" si="2">SUM(AP19:AQ22)/4</f>
        <v>#DIV/0!</v>
      </c>
    </row>
    <row r="20" spans="2:49" ht="45.4" customHeight="1">
      <c r="B20" s="607" t="s">
        <v>319</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v>22</v>
      </c>
      <c r="AJ20" s="672"/>
      <c r="AK20" s="672"/>
      <c r="AL20" s="672">
        <v>22</v>
      </c>
      <c r="AM20" s="672"/>
      <c r="AN20" s="672"/>
      <c r="AO20" s="672"/>
      <c r="AP20" s="671">
        <f t="shared" si="0"/>
        <v>1</v>
      </c>
      <c r="AQ20" s="671"/>
      <c r="AR20" s="669"/>
      <c r="AW20" s="85"/>
    </row>
    <row r="21" spans="2:49"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0"/>
        <v>#DIV/0!</v>
      </c>
      <c r="AQ21" s="671"/>
      <c r="AR21" s="669"/>
      <c r="AW21" s="85"/>
    </row>
    <row r="22" spans="2:49"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672"/>
      <c r="AJ22" s="672"/>
      <c r="AK22" s="672"/>
      <c r="AL22" s="672"/>
      <c r="AM22" s="672"/>
      <c r="AN22" s="672"/>
      <c r="AO22" s="672"/>
      <c r="AP22" s="671" t="e">
        <f t="shared" si="0"/>
        <v>#DIV/0!</v>
      </c>
      <c r="AQ22" s="671"/>
      <c r="AR22" s="669"/>
    </row>
    <row r="23" spans="2:49" ht="18.95" customHeight="1">
      <c r="B23" s="633" t="s">
        <v>25</v>
      </c>
      <c r="C23" s="633"/>
      <c r="D23" s="682">
        <f>AL15</f>
        <v>103</v>
      </c>
      <c r="E23" s="683"/>
      <c r="F23" s="684"/>
      <c r="G23" s="685">
        <f>AL16</f>
        <v>36</v>
      </c>
      <c r="H23" s="872"/>
      <c r="I23" s="872"/>
      <c r="J23" s="872"/>
      <c r="K23" s="872"/>
      <c r="L23" s="872"/>
      <c r="M23" s="873"/>
      <c r="N23" s="682">
        <f>AL17</f>
        <v>45</v>
      </c>
      <c r="O23" s="683"/>
      <c r="P23" s="683"/>
      <c r="Q23" s="683"/>
      <c r="R23" s="683"/>
      <c r="S23" s="684"/>
      <c r="T23" s="685">
        <f>AL18</f>
        <v>52</v>
      </c>
      <c r="U23" s="643"/>
      <c r="V23" s="643"/>
      <c r="W23" s="643"/>
      <c r="X23" s="608"/>
      <c r="Z23" s="52"/>
      <c r="AA23" s="52"/>
    </row>
    <row r="24" spans="2:49" ht="18.95" customHeight="1">
      <c r="B24" s="633" t="s">
        <v>26</v>
      </c>
      <c r="C24" s="633"/>
      <c r="D24" s="682">
        <f>AI15</f>
        <v>103</v>
      </c>
      <c r="E24" s="683"/>
      <c r="F24" s="684"/>
      <c r="G24" s="685">
        <f>AI16</f>
        <v>36</v>
      </c>
      <c r="H24" s="643"/>
      <c r="I24" s="643"/>
      <c r="J24" s="643"/>
      <c r="K24" s="643"/>
      <c r="L24" s="643"/>
      <c r="M24" s="608"/>
      <c r="N24" s="682">
        <f>AI17</f>
        <v>45</v>
      </c>
      <c r="O24" s="683"/>
      <c r="P24" s="683"/>
      <c r="Q24" s="683"/>
      <c r="R24" s="683"/>
      <c r="S24" s="684"/>
      <c r="T24" s="685">
        <f>AI18</f>
        <v>52</v>
      </c>
      <c r="U24" s="643"/>
      <c r="V24" s="643"/>
      <c r="W24" s="643"/>
      <c r="X24" s="608"/>
      <c r="Y24" s="53"/>
    </row>
    <row r="25" spans="2:49"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9"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9"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9" ht="17.649999999999999" customHeight="1">
      <c r="B28" s="93" t="s">
        <v>32</v>
      </c>
      <c r="C28" s="687"/>
      <c r="D28" s="687"/>
      <c r="E28" s="92">
        <f t="shared" ref="E28:E37" si="3">$O$14</f>
        <v>1</v>
      </c>
      <c r="F28" s="28"/>
      <c r="G28" s="28"/>
      <c r="H28" s="590"/>
      <c r="I28" s="590"/>
      <c r="J28" s="590"/>
      <c r="K28" s="590"/>
      <c r="L28" s="6"/>
      <c r="M28" s="5"/>
      <c r="N28" s="590"/>
      <c r="O28" s="590"/>
      <c r="P28" s="590"/>
      <c r="Q28" s="590"/>
      <c r="R28" s="590"/>
      <c r="S28" s="628"/>
      <c r="T28" s="628"/>
      <c r="U28" s="628"/>
      <c r="V28" s="628"/>
      <c r="W28" s="628"/>
      <c r="X28" s="629"/>
    </row>
    <row r="29" spans="2:49" ht="17.649999999999999" customHeight="1">
      <c r="B29" s="93" t="s">
        <v>33</v>
      </c>
      <c r="C29" s="688"/>
      <c r="D29" s="688"/>
      <c r="E29" s="92">
        <f t="shared" si="3"/>
        <v>1</v>
      </c>
      <c r="F29" s="28"/>
      <c r="G29" s="28"/>
      <c r="H29" s="590"/>
      <c r="I29" s="590"/>
      <c r="J29" s="590"/>
      <c r="K29" s="590"/>
      <c r="L29" s="6"/>
      <c r="M29" s="5"/>
      <c r="N29" s="590"/>
      <c r="O29" s="590"/>
      <c r="P29" s="590"/>
      <c r="Q29" s="590"/>
      <c r="R29" s="590"/>
      <c r="S29" s="628"/>
      <c r="T29" s="628"/>
      <c r="U29" s="628"/>
      <c r="V29" s="628"/>
      <c r="W29" s="628"/>
      <c r="X29" s="629"/>
    </row>
    <row r="30" spans="2:49" ht="17.649999999999999" customHeight="1">
      <c r="B30" s="93" t="s">
        <v>34</v>
      </c>
      <c r="C30" s="686">
        <f>IF(ISERROR($G$23/$G$24),0,$G$23/$G$24)</f>
        <v>1</v>
      </c>
      <c r="D30" s="686">
        <f t="shared" ref="D30:D36" si="4">$E$18</f>
        <v>1</v>
      </c>
      <c r="E30" s="92">
        <f t="shared" si="3"/>
        <v>1</v>
      </c>
      <c r="F30" s="28"/>
      <c r="G30" s="28"/>
      <c r="H30" s="590"/>
      <c r="I30" s="590"/>
      <c r="J30" s="590"/>
      <c r="K30" s="590"/>
      <c r="L30" s="6"/>
      <c r="M30" s="5"/>
      <c r="N30" s="590"/>
      <c r="O30" s="590"/>
      <c r="P30" s="590"/>
      <c r="Q30" s="590"/>
      <c r="R30" s="590"/>
      <c r="S30" s="628"/>
      <c r="T30" s="628"/>
      <c r="U30" s="628"/>
      <c r="V30" s="628"/>
      <c r="W30" s="628"/>
      <c r="X30" s="629"/>
    </row>
    <row r="31" spans="2:49" ht="17.649999999999999" customHeight="1">
      <c r="B31" s="93" t="s">
        <v>35</v>
      </c>
      <c r="C31" s="687"/>
      <c r="D31" s="687"/>
      <c r="E31" s="92">
        <f t="shared" si="3"/>
        <v>1</v>
      </c>
      <c r="F31" s="28"/>
      <c r="G31" s="28"/>
      <c r="H31" s="590"/>
      <c r="I31" s="590"/>
      <c r="J31" s="590"/>
      <c r="K31" s="590"/>
      <c r="L31" s="6"/>
      <c r="M31" s="5"/>
      <c r="N31" s="590"/>
      <c r="O31" s="590"/>
      <c r="P31" s="590"/>
      <c r="Q31" s="590"/>
      <c r="R31" s="590"/>
      <c r="S31" s="628"/>
      <c r="T31" s="628"/>
      <c r="U31" s="628"/>
      <c r="V31" s="628"/>
      <c r="W31" s="628"/>
      <c r="X31" s="629"/>
    </row>
    <row r="32" spans="2:49" ht="17.649999999999999" customHeight="1">
      <c r="B32" s="93" t="s">
        <v>36</v>
      </c>
      <c r="C32" s="688"/>
      <c r="D32" s="688"/>
      <c r="E32" s="92">
        <f t="shared" si="3"/>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4"/>
        <v>1</v>
      </c>
      <c r="E33" s="92">
        <f t="shared" si="3"/>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3"/>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3"/>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v>
      </c>
      <c r="D36" s="686">
        <f t="shared" si="4"/>
        <v>1</v>
      </c>
      <c r="E36" s="92">
        <f t="shared" si="3"/>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3"/>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B7:F8"/>
    <mergeCell ref="G7:X8"/>
    <mergeCell ref="AB7:AC10"/>
    <mergeCell ref="AD7:AH7"/>
    <mergeCell ref="B10:X10"/>
    <mergeCell ref="AD10:AH10"/>
    <mergeCell ref="W5:X5"/>
    <mergeCell ref="AB5:AC6"/>
    <mergeCell ref="AD5:AH6"/>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D8:AH8"/>
    <mergeCell ref="B9:X9"/>
    <mergeCell ref="G14:J14"/>
    <mergeCell ref="K14:N14"/>
    <mergeCell ref="O14:R14"/>
    <mergeCell ref="S14:U14"/>
    <mergeCell ref="V14:X14"/>
    <mergeCell ref="AD14:AH14"/>
    <mergeCell ref="AI14:AK14"/>
    <mergeCell ref="AL14:AO14"/>
    <mergeCell ref="AI7:AK10"/>
    <mergeCell ref="AL7:AO10"/>
    <mergeCell ref="AD9:AH9"/>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B14:F14"/>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T22:U22"/>
    <mergeCell ref="AP22:AQ22"/>
    <mergeCell ref="B21:X21"/>
    <mergeCell ref="AD21:AH21"/>
    <mergeCell ref="AI21:AK21"/>
    <mergeCell ref="AL21:AO21"/>
    <mergeCell ref="AP21:AQ21"/>
    <mergeCell ref="B22:C22"/>
    <mergeCell ref="G22:I22"/>
    <mergeCell ref="K22:M22"/>
    <mergeCell ref="O22:P22"/>
    <mergeCell ref="Q22:S22"/>
    <mergeCell ref="T23:X23"/>
    <mergeCell ref="D24:F24"/>
    <mergeCell ref="G24:M24"/>
    <mergeCell ref="N24:S24"/>
    <mergeCell ref="T24:X24"/>
    <mergeCell ref="V22:W22"/>
    <mergeCell ref="AD22:AH22"/>
    <mergeCell ref="AI22:AK22"/>
    <mergeCell ref="AL22:AO22"/>
    <mergeCell ref="P31:R31"/>
    <mergeCell ref="N28:O28"/>
    <mergeCell ref="P28:R28"/>
    <mergeCell ref="H29:I29"/>
    <mergeCell ref="J29:K29"/>
    <mergeCell ref="N29:O29"/>
    <mergeCell ref="P29:R29"/>
    <mergeCell ref="B24:C24"/>
    <mergeCell ref="B23:C23"/>
    <mergeCell ref="D23:F23"/>
    <mergeCell ref="G23:M23"/>
    <mergeCell ref="N23:S2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'C:\Users\lorenar\Desktop\[Adquisiones.xlsx]Hoja1'!#REF!</xm:f>
          </x14:formula1>
          <xm:sqref>C18:D18</xm:sqref>
        </x14:dataValidation>
        <x14:dataValidation type="list" allowBlank="1" showInputMessage="1" showErrorMessage="1">
          <x14:formula1>
            <xm:f>'C:\Users\lorenar\Desktop\[Adquisiones.xlsx]Hoja1'!#REF!</xm:f>
          </x14:formula1>
          <xm:sqref>G14:J14</xm:sqref>
        </x14:dataValidation>
        <x14:dataValidation type="list" allowBlank="1" showInputMessage="1" showErrorMessage="1">
          <x14:formula1>
            <xm:f>Hoja1!$A$3:$A$24</xm:f>
          </x14:formula1>
          <xm:sqref>G7:X8</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8">
    <tabColor theme="2" tint="-0.499984740745262"/>
    <pageSetUpPr fitToPage="1"/>
  </sheetPr>
  <dimension ref="B1:AR50"/>
  <sheetViews>
    <sheetView zoomScale="80" zoomScaleNormal="80" zoomScaleSheetLayoutView="100" workbookViewId="0">
      <selection activeCell="AI26" sqref="AI2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97</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673">
        <v>1500</v>
      </c>
      <c r="AJ7" s="673"/>
      <c r="AK7" s="673"/>
      <c r="AL7" s="673">
        <v>1500</v>
      </c>
      <c r="AM7" s="673"/>
      <c r="AN7" s="673"/>
      <c r="AO7" s="673"/>
      <c r="AP7" s="674">
        <f t="shared" ref="AP7:AP10" si="0">AL7/AI7</f>
        <v>1</v>
      </c>
      <c r="AQ7" s="674"/>
      <c r="AR7" s="668">
        <f>SUM(AP7:AQ10)/4</f>
        <v>1</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673">
        <v>1568</v>
      </c>
      <c r="AJ8" s="673"/>
      <c r="AK8" s="673"/>
      <c r="AL8" s="673">
        <v>1568</v>
      </c>
      <c r="AM8" s="673"/>
      <c r="AN8" s="673"/>
      <c r="AO8" s="673"/>
      <c r="AP8" s="674">
        <f t="shared" si="0"/>
        <v>1</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673">
        <v>1462</v>
      </c>
      <c r="AJ9" s="673"/>
      <c r="AK9" s="673"/>
      <c r="AL9" s="673">
        <v>1462</v>
      </c>
      <c r="AM9" s="673"/>
      <c r="AN9" s="673"/>
      <c r="AO9" s="673"/>
      <c r="AP9" s="674">
        <f t="shared" si="0"/>
        <v>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673">
        <v>876</v>
      </c>
      <c r="AJ10" s="673"/>
      <c r="AK10" s="673"/>
      <c r="AL10" s="673">
        <v>876</v>
      </c>
      <c r="AM10" s="673"/>
      <c r="AN10" s="673"/>
      <c r="AO10" s="673"/>
      <c r="AP10" s="674">
        <f t="shared" si="0"/>
        <v>1</v>
      </c>
      <c r="AQ10" s="674"/>
      <c r="AR10" s="668"/>
    </row>
    <row r="11" spans="2:44" ht="38.25" customHeight="1">
      <c r="B11" s="640" t="s">
        <v>185</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672">
        <v>898</v>
      </c>
      <c r="AJ11" s="672"/>
      <c r="AK11" s="672"/>
      <c r="AL11" s="672">
        <v>898</v>
      </c>
      <c r="AM11" s="672"/>
      <c r="AN11" s="672"/>
      <c r="AO11" s="672"/>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672">
        <v>526</v>
      </c>
      <c r="AJ12" s="672"/>
      <c r="AK12" s="672"/>
      <c r="AL12" s="672">
        <v>526</v>
      </c>
      <c r="AM12" s="672"/>
      <c r="AN12" s="672"/>
      <c r="AO12" s="672"/>
      <c r="AP12" s="671">
        <f t="shared" ref="AP12:AP22" si="1">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672">
        <v>549</v>
      </c>
      <c r="AJ13" s="672"/>
      <c r="AK13" s="672"/>
      <c r="AL13" s="672">
        <v>549</v>
      </c>
      <c r="AM13" s="672"/>
      <c r="AN13" s="672"/>
      <c r="AO13" s="672"/>
      <c r="AP13" s="671">
        <f t="shared" si="1"/>
        <v>1</v>
      </c>
      <c r="AQ13" s="671"/>
      <c r="AR13" s="669"/>
    </row>
    <row r="14" spans="2:44" ht="29.25" customHeight="1">
      <c r="B14" s="632" t="s">
        <v>323</v>
      </c>
      <c r="C14" s="632"/>
      <c r="D14" s="632"/>
      <c r="E14" s="632"/>
      <c r="F14" s="632"/>
      <c r="G14" s="644" t="s">
        <v>99</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672">
        <v>450</v>
      </c>
      <c r="AJ14" s="672"/>
      <c r="AK14" s="672"/>
      <c r="AL14" s="672">
        <v>450</v>
      </c>
      <c r="AM14" s="672"/>
      <c r="AN14" s="672"/>
      <c r="AO14" s="672"/>
      <c r="AP14" s="671">
        <f t="shared" si="1"/>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673">
        <v>444</v>
      </c>
      <c r="AJ15" s="673"/>
      <c r="AK15" s="673"/>
      <c r="AL15" s="673">
        <v>444</v>
      </c>
      <c r="AM15" s="673"/>
      <c r="AN15" s="673"/>
      <c r="AO15" s="673"/>
      <c r="AP15" s="674">
        <f t="shared" si="1"/>
        <v>1</v>
      </c>
      <c r="AQ15" s="674"/>
      <c r="AR15" s="668" t="e">
        <f t="shared" ref="AR15" si="2">SUM(AP15:AQ18)/4</f>
        <v>#DIV/0!</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673">
        <v>330</v>
      </c>
      <c r="AJ16" s="673"/>
      <c r="AK16" s="673"/>
      <c r="AL16" s="673">
        <v>330</v>
      </c>
      <c r="AM16" s="673"/>
      <c r="AN16" s="673"/>
      <c r="AO16" s="673"/>
      <c r="AP16" s="674">
        <f t="shared" si="1"/>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673"/>
      <c r="AJ17" s="673"/>
      <c r="AK17" s="673"/>
      <c r="AL17" s="673"/>
      <c r="AM17" s="673"/>
      <c r="AN17" s="673"/>
      <c r="AO17" s="673"/>
      <c r="AP17" s="674" t="e">
        <f t="shared" si="1"/>
        <v>#DIV/0!</v>
      </c>
      <c r="AQ17" s="674"/>
      <c r="AR17" s="668"/>
    </row>
    <row r="18" spans="2:44" ht="28.5" customHeight="1">
      <c r="B18" s="43" t="s">
        <v>188</v>
      </c>
      <c r="C18" s="607" t="s">
        <v>112</v>
      </c>
      <c r="D18" s="608"/>
      <c r="E18" s="644">
        <v>1</v>
      </c>
      <c r="F18" s="644"/>
      <c r="G18" s="632" t="s">
        <v>324</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673"/>
      <c r="AJ18" s="673"/>
      <c r="AK18" s="673"/>
      <c r="AL18" s="673"/>
      <c r="AM18" s="673"/>
      <c r="AN18" s="673"/>
      <c r="AO18" s="673"/>
      <c r="AP18" s="674" t="e">
        <f t="shared" si="1"/>
        <v>#DIV/0!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672"/>
      <c r="AJ19" s="672"/>
      <c r="AK19" s="672"/>
      <c r="AL19" s="672"/>
      <c r="AM19" s="672"/>
      <c r="AN19" s="672"/>
      <c r="AO19" s="672"/>
      <c r="AP19" s="671" t="e">
        <f t="shared" si="1"/>
        <v>#DIV/0!</v>
      </c>
      <c r="AQ19" s="671"/>
      <c r="AR19" s="669" t="e">
        <f t="shared" ref="AR19" si="3">SUM(AP19:AQ22)/4</f>
        <v>#DIV/0!</v>
      </c>
    </row>
    <row r="20" spans="2:44" ht="45.4" customHeight="1">
      <c r="B20" s="607" t="s">
        <v>325</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672"/>
      <c r="AJ20" s="672"/>
      <c r="AK20" s="672"/>
      <c r="AL20" s="672"/>
      <c r="AM20" s="672"/>
      <c r="AN20" s="672"/>
      <c r="AO20" s="672"/>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672"/>
      <c r="AJ21" s="672"/>
      <c r="AK21" s="672"/>
      <c r="AL21" s="672"/>
      <c r="AM21" s="672"/>
      <c r="AN21" s="672"/>
      <c r="AO21" s="672"/>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682">
        <f>AL15</f>
        <v>444</v>
      </c>
      <c r="E23" s="683"/>
      <c r="F23" s="684"/>
      <c r="G23" s="685">
        <f>AL16</f>
        <v>330</v>
      </c>
      <c r="H23" s="872"/>
      <c r="I23" s="872"/>
      <c r="J23" s="872"/>
      <c r="K23" s="872"/>
      <c r="L23" s="872"/>
      <c r="M23" s="873"/>
      <c r="N23" s="682">
        <f>AL17</f>
        <v>0</v>
      </c>
      <c r="O23" s="683"/>
      <c r="P23" s="683"/>
      <c r="Q23" s="683"/>
      <c r="R23" s="683"/>
      <c r="S23" s="684"/>
      <c r="T23" s="685">
        <f>AL18</f>
        <v>0</v>
      </c>
      <c r="U23" s="643"/>
      <c r="V23" s="643"/>
      <c r="W23" s="643"/>
      <c r="X23" s="608"/>
      <c r="Z23" s="52"/>
      <c r="AA23" s="52"/>
    </row>
    <row r="24" spans="2:44" ht="18.95" customHeight="1">
      <c r="B24" s="633" t="s">
        <v>26</v>
      </c>
      <c r="C24" s="633"/>
      <c r="D24" s="682">
        <f>AI15</f>
        <v>444</v>
      </c>
      <c r="E24" s="683"/>
      <c r="F24" s="684"/>
      <c r="G24" s="685">
        <f>AI16</f>
        <v>330</v>
      </c>
      <c r="H24" s="643"/>
      <c r="I24" s="643"/>
      <c r="J24" s="643"/>
      <c r="K24" s="643"/>
      <c r="L24" s="643"/>
      <c r="M24" s="608"/>
      <c r="N24" s="682">
        <f>AI17</f>
        <v>0</v>
      </c>
      <c r="O24" s="683"/>
      <c r="P24" s="683"/>
      <c r="Q24" s="683"/>
      <c r="R24" s="683"/>
      <c r="S24" s="684"/>
      <c r="T24" s="685">
        <f>AI18</f>
        <v>0</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9">
    <tabColor theme="2" tint="-0.499984740745262"/>
    <pageSetUpPr fitToPage="1"/>
  </sheetPr>
  <dimension ref="B1:AR50"/>
  <sheetViews>
    <sheetView zoomScale="80" zoomScaleNormal="80" zoomScaleSheetLayoutView="100" workbookViewId="0">
      <selection activeCell="AI30" sqref="AI3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22250000</v>
      </c>
      <c r="AJ7" s="866"/>
      <c r="AK7" s="866"/>
      <c r="AL7" s="866">
        <v>13172258.99</v>
      </c>
      <c r="AM7" s="866"/>
      <c r="AN7" s="866"/>
      <c r="AO7" s="866"/>
      <c r="AP7" s="674">
        <f t="shared" ref="AP7:AP10" si="0">AL7/AI7</f>
        <v>0.59201164000000006</v>
      </c>
      <c r="AQ7" s="674"/>
      <c r="AR7" s="668">
        <f>SUM(AP7:AQ10)/4</f>
        <v>0.99999933044943834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22250000</v>
      </c>
      <c r="AJ8" s="866"/>
      <c r="AK8" s="866"/>
      <c r="AL8" s="866">
        <v>18200432.579999998</v>
      </c>
      <c r="AM8" s="866"/>
      <c r="AN8" s="866"/>
      <c r="AO8" s="866"/>
      <c r="AP8" s="674">
        <f t="shared" si="0"/>
        <v>0.81799696988764037</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22250000</v>
      </c>
      <c r="AJ9" s="866"/>
      <c r="AK9" s="866"/>
      <c r="AL9" s="866">
        <v>19608224.420000002</v>
      </c>
      <c r="AM9" s="866"/>
      <c r="AN9" s="866"/>
      <c r="AO9" s="866"/>
      <c r="AP9" s="674">
        <f t="shared" si="0"/>
        <v>0.88126851325842703</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22250000</v>
      </c>
      <c r="AJ10" s="866"/>
      <c r="AK10" s="866"/>
      <c r="AL10" s="866">
        <f>12060457.45+25958566.97</f>
        <v>38019024.420000002</v>
      </c>
      <c r="AM10" s="866"/>
      <c r="AN10" s="866"/>
      <c r="AO10" s="866"/>
      <c r="AP10" s="674">
        <f t="shared" si="0"/>
        <v>1.7087201986516856</v>
      </c>
      <c r="AQ10" s="674"/>
      <c r="AR10" s="668"/>
    </row>
    <row r="11" spans="2:44" ht="38.25" customHeight="1">
      <c r="B11" s="974" t="s">
        <v>186</v>
      </c>
      <c r="C11" s="974"/>
      <c r="D11" s="974"/>
      <c r="E11" s="974"/>
      <c r="F11" s="974"/>
      <c r="G11" s="974"/>
      <c r="H11" s="974"/>
      <c r="I11" s="974"/>
      <c r="J11" s="974"/>
      <c r="K11" s="974"/>
      <c r="L11" s="974"/>
      <c r="M11" s="974"/>
      <c r="N11" s="974"/>
      <c r="O11" s="974"/>
      <c r="P11" s="974"/>
      <c r="Q11" s="974"/>
      <c r="R11" s="974"/>
      <c r="S11" s="974"/>
      <c r="T11" s="974"/>
      <c r="U11" s="974"/>
      <c r="V11" s="974"/>
      <c r="W11" s="974"/>
      <c r="X11" s="974"/>
      <c r="AB11" s="679">
        <v>2020</v>
      </c>
      <c r="AC11" s="679"/>
      <c r="AD11" s="681" t="s">
        <v>131</v>
      </c>
      <c r="AE11" s="681"/>
      <c r="AF11" s="681"/>
      <c r="AG11" s="681"/>
      <c r="AH11" s="681"/>
      <c r="AI11" s="865">
        <v>8463022</v>
      </c>
      <c r="AJ11" s="865"/>
      <c r="AK11" s="865"/>
      <c r="AL11" s="865">
        <v>10263784</v>
      </c>
      <c r="AM11" s="865"/>
      <c r="AN11" s="865"/>
      <c r="AO11" s="865"/>
      <c r="AP11" s="671">
        <f>AL11/AI11</f>
        <v>1.2127800211319313</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8463022</v>
      </c>
      <c r="AJ12" s="865"/>
      <c r="AK12" s="865"/>
      <c r="AL12" s="865">
        <v>5661399</v>
      </c>
      <c r="AM12" s="865"/>
      <c r="AN12" s="865"/>
      <c r="AO12" s="865"/>
      <c r="AP12" s="671">
        <f t="shared" ref="AP12:AP22" si="1">AL12/AI12</f>
        <v>0.66895714084165203</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8463022</v>
      </c>
      <c r="AJ13" s="865"/>
      <c r="AK13" s="865"/>
      <c r="AL13" s="865">
        <v>5718426</v>
      </c>
      <c r="AM13" s="865"/>
      <c r="AN13" s="865"/>
      <c r="AO13" s="865"/>
      <c r="AP13" s="671">
        <f t="shared" si="1"/>
        <v>0.67569551396652405</v>
      </c>
      <c r="AQ13" s="671"/>
      <c r="AR13" s="669"/>
    </row>
    <row r="14" spans="2:44" ht="29.25" customHeight="1">
      <c r="B14" s="632"/>
      <c r="C14" s="632"/>
      <c r="D14" s="632"/>
      <c r="E14" s="632"/>
      <c r="F14" s="632"/>
      <c r="G14" s="644"/>
      <c r="H14" s="644"/>
      <c r="I14" s="644"/>
      <c r="J14" s="644"/>
      <c r="K14" s="644"/>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8463022</v>
      </c>
      <c r="AJ14" s="865"/>
      <c r="AK14" s="865"/>
      <c r="AL14" s="865">
        <v>12208479</v>
      </c>
      <c r="AM14" s="865"/>
      <c r="AN14" s="865"/>
      <c r="AO14" s="865"/>
      <c r="AP14" s="671">
        <f t="shared" si="1"/>
        <v>1.4425673240598926</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17500000</v>
      </c>
      <c r="AJ15" s="866"/>
      <c r="AK15" s="866"/>
      <c r="AL15" s="866">
        <v>0</v>
      </c>
      <c r="AM15" s="866"/>
      <c r="AN15" s="866"/>
      <c r="AO15" s="866"/>
      <c r="AP15" s="674">
        <f t="shared" si="1"/>
        <v>0</v>
      </c>
      <c r="AQ15" s="674"/>
      <c r="AR15" s="668">
        <f t="shared" ref="AR15" si="2">SUM(AP15:AQ18)/4</f>
        <v>0.34896857842857143</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17500000</v>
      </c>
      <c r="AJ16" s="866"/>
      <c r="AK16" s="866"/>
      <c r="AL16" s="866">
        <v>13491176.890000001</v>
      </c>
      <c r="AM16" s="866"/>
      <c r="AN16" s="866"/>
      <c r="AO16" s="866"/>
      <c r="AP16" s="674">
        <f t="shared" si="1"/>
        <v>0.77092439371428578</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17500000</v>
      </c>
      <c r="AJ17" s="866"/>
      <c r="AK17" s="866"/>
      <c r="AL17" s="866">
        <v>10936623.6</v>
      </c>
      <c r="AM17" s="866"/>
      <c r="AN17" s="866"/>
      <c r="AO17" s="866"/>
      <c r="AP17" s="674">
        <f t="shared" si="1"/>
        <v>0.62494991999999994</v>
      </c>
      <c r="AQ17" s="674"/>
      <c r="AR17" s="668"/>
    </row>
    <row r="18" spans="2:44" ht="28.5" customHeight="1">
      <c r="B18" s="43"/>
      <c r="C18" s="607"/>
      <c r="D18" s="608"/>
      <c r="E18" s="644"/>
      <c r="F18" s="644"/>
      <c r="G18" s="632"/>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17500000</v>
      </c>
      <c r="AJ18" s="866"/>
      <c r="AK18" s="866"/>
      <c r="AL18" s="866"/>
      <c r="AM18" s="866"/>
      <c r="AN18" s="866"/>
      <c r="AO18" s="866"/>
      <c r="AP18" s="674">
        <f t="shared" si="1"/>
        <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c r="AJ19" s="865"/>
      <c r="AK19" s="865"/>
      <c r="AL19" s="865"/>
      <c r="AM19" s="865"/>
      <c r="AN19" s="865"/>
      <c r="AO19" s="865"/>
      <c r="AP19" s="671" t="e">
        <f t="shared" si="1"/>
        <v>#DIV/0!</v>
      </c>
      <c r="AQ19" s="671"/>
      <c r="AR19" s="669" t="e">
        <f t="shared" ref="AR19" si="3">SUM(AP19:AQ22)/4</f>
        <v>#DIV/0!</v>
      </c>
    </row>
    <row r="20" spans="2:44" ht="45.4" customHeight="1">
      <c r="B20" s="607"/>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c r="AJ20" s="865"/>
      <c r="AK20" s="865"/>
      <c r="AL20" s="865"/>
      <c r="AM20" s="865"/>
      <c r="AN20" s="865"/>
      <c r="AO20" s="865"/>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865"/>
      <c r="AJ22" s="865"/>
      <c r="AK22" s="865"/>
      <c r="AL22" s="865"/>
      <c r="AM22" s="865"/>
      <c r="AN22" s="865"/>
      <c r="AO22" s="865"/>
      <c r="AP22" s="671" t="e">
        <f t="shared" si="1"/>
        <v>#DIV/0!</v>
      </c>
      <c r="AQ22" s="671"/>
      <c r="AR22" s="669"/>
    </row>
    <row r="23" spans="2:44" ht="18.95" customHeight="1">
      <c r="B23" s="633" t="s">
        <v>25</v>
      </c>
      <c r="C23" s="633"/>
      <c r="D23" s="859">
        <f>AL15</f>
        <v>0</v>
      </c>
      <c r="E23" s="860"/>
      <c r="F23" s="861"/>
      <c r="G23" s="862">
        <f>AL16</f>
        <v>13491176.890000001</v>
      </c>
      <c r="H23" s="863"/>
      <c r="I23" s="863"/>
      <c r="J23" s="863"/>
      <c r="K23" s="863"/>
      <c r="L23" s="863"/>
      <c r="M23" s="864"/>
      <c r="N23" s="859">
        <f>AL17</f>
        <v>10936623.6</v>
      </c>
      <c r="O23" s="860"/>
      <c r="P23" s="860"/>
      <c r="Q23" s="860"/>
      <c r="R23" s="860"/>
      <c r="S23" s="861"/>
      <c r="T23" s="862">
        <f>AL18</f>
        <v>0</v>
      </c>
      <c r="U23" s="863"/>
      <c r="V23" s="863"/>
      <c r="W23" s="863"/>
      <c r="X23" s="864"/>
      <c r="Z23" s="52"/>
      <c r="AA23" s="52"/>
    </row>
    <row r="24" spans="2:44" ht="18.95" customHeight="1">
      <c r="B24" s="633" t="s">
        <v>26</v>
      </c>
      <c r="C24" s="633"/>
      <c r="D24" s="859">
        <f>AI15</f>
        <v>17500000</v>
      </c>
      <c r="E24" s="860"/>
      <c r="F24" s="861"/>
      <c r="G24" s="862">
        <f>AI16</f>
        <v>17500000</v>
      </c>
      <c r="H24" s="863"/>
      <c r="I24" s="863"/>
      <c r="J24" s="863"/>
      <c r="K24" s="863"/>
      <c r="L24" s="863"/>
      <c r="M24" s="864"/>
      <c r="N24" s="859">
        <f>AI17</f>
        <v>17500000</v>
      </c>
      <c r="O24" s="860"/>
      <c r="P24" s="860"/>
      <c r="Q24" s="860"/>
      <c r="R24" s="860"/>
      <c r="S24" s="861"/>
      <c r="T24" s="862">
        <f>AI18</f>
        <v>17500000</v>
      </c>
      <c r="U24" s="863"/>
      <c r="V24" s="863"/>
      <c r="W24" s="863"/>
      <c r="X24" s="864"/>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0.77092439371428578</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0.62494991999999994</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0">
    <tabColor theme="2" tint="-0.499984740745262"/>
    <pageSetUpPr fitToPage="1"/>
  </sheetPr>
  <dimension ref="B1:AR50"/>
  <sheetViews>
    <sheetView zoomScale="80" zoomScaleNormal="80" zoomScaleSheetLayoutView="100" workbookViewId="0">
      <selection activeCell="AI30" sqref="AI3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42"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98</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866">
        <v>20468380.390000001</v>
      </c>
      <c r="AJ7" s="866"/>
      <c r="AK7" s="866"/>
      <c r="AL7" s="866"/>
      <c r="AM7" s="866"/>
      <c r="AN7" s="866"/>
      <c r="AO7" s="866"/>
      <c r="AP7" s="674">
        <f t="shared" ref="AP7:AP10" si="0">AL7/AI7</f>
        <v>0</v>
      </c>
      <c r="AQ7" s="674"/>
      <c r="AR7" s="668">
        <f>SUM(AP7:AQ10)/4</f>
        <v>0.99988969034398523</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866">
        <v>20468380.390000001</v>
      </c>
      <c r="AJ8" s="866"/>
      <c r="AK8" s="866"/>
      <c r="AL8" s="866">
        <v>41956165.350000001</v>
      </c>
      <c r="AM8" s="866"/>
      <c r="AN8" s="866"/>
      <c r="AO8" s="866"/>
      <c r="AP8" s="674">
        <f t="shared" si="0"/>
        <v>2.0498038706813384</v>
      </c>
      <c r="AQ8" s="674"/>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866">
        <v>20468380.390000001</v>
      </c>
      <c r="AJ9" s="866"/>
      <c r="AK9" s="866"/>
      <c r="AL9" s="866">
        <v>25421894.98</v>
      </c>
      <c r="AM9" s="866"/>
      <c r="AN9" s="866"/>
      <c r="AO9" s="866"/>
      <c r="AP9" s="674">
        <f t="shared" si="0"/>
        <v>1.2420081362382771</v>
      </c>
      <c r="AQ9" s="674"/>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866">
        <v>20468380.390000001</v>
      </c>
      <c r="AJ10" s="866"/>
      <c r="AK10" s="866"/>
      <c r="AL10" s="866">
        <v>14486429.789999999</v>
      </c>
      <c r="AM10" s="866"/>
      <c r="AN10" s="866"/>
      <c r="AO10" s="866"/>
      <c r="AP10" s="674">
        <f t="shared" si="0"/>
        <v>0.70774675445632551</v>
      </c>
      <c r="AQ10" s="674"/>
      <c r="AR10" s="668"/>
    </row>
    <row r="11" spans="2:44" ht="38.25" customHeight="1">
      <c r="B11" s="640" t="s">
        <v>187</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865">
        <v>18734500</v>
      </c>
      <c r="AJ11" s="865"/>
      <c r="AK11" s="865"/>
      <c r="AL11" s="865">
        <v>0</v>
      </c>
      <c r="AM11" s="865"/>
      <c r="AN11" s="865"/>
      <c r="AO11" s="865"/>
      <c r="AP11" s="671">
        <f>AL11/AI11</f>
        <v>0</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865">
        <v>18734500</v>
      </c>
      <c r="AJ12" s="865"/>
      <c r="AK12" s="865"/>
      <c r="AL12" s="865">
        <v>22495000</v>
      </c>
      <c r="AM12" s="865"/>
      <c r="AN12" s="865"/>
      <c r="AO12" s="865"/>
      <c r="AP12" s="671">
        <f t="shared" ref="AP12:AP22" si="1">AL12/AI12</f>
        <v>1.2007259334383089</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865">
        <v>18734500</v>
      </c>
      <c r="AJ13" s="865"/>
      <c r="AK13" s="865"/>
      <c r="AL13" s="865">
        <v>21959000</v>
      </c>
      <c r="AM13" s="865"/>
      <c r="AN13" s="865"/>
      <c r="AO13" s="865"/>
      <c r="AP13" s="671">
        <f t="shared" si="1"/>
        <v>1.1721156155755426</v>
      </c>
      <c r="AQ13" s="671"/>
      <c r="AR13" s="669"/>
    </row>
    <row r="14" spans="2:44" ht="29.25" customHeight="1">
      <c r="B14" s="632"/>
      <c r="C14" s="632"/>
      <c r="D14" s="632"/>
      <c r="E14" s="632"/>
      <c r="F14" s="632"/>
      <c r="G14" s="644"/>
      <c r="H14" s="644"/>
      <c r="I14" s="644"/>
      <c r="J14" s="644"/>
      <c r="K14" s="644"/>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865">
        <v>18734500</v>
      </c>
      <c r="AJ14" s="865"/>
      <c r="AK14" s="865"/>
      <c r="AL14" s="865">
        <v>30484000</v>
      </c>
      <c r="AM14" s="865"/>
      <c r="AN14" s="865"/>
      <c r="AO14" s="865"/>
      <c r="AP14" s="671">
        <f t="shared" si="1"/>
        <v>1.6271584509861485</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866">
        <v>14750000</v>
      </c>
      <c r="AJ15" s="866"/>
      <c r="AK15" s="866"/>
      <c r="AL15" s="866">
        <v>9139472</v>
      </c>
      <c r="AM15" s="866"/>
      <c r="AN15" s="866"/>
      <c r="AO15" s="866"/>
      <c r="AP15" s="674">
        <f t="shared" si="1"/>
        <v>0.61962522033898304</v>
      </c>
      <c r="AQ15" s="674"/>
      <c r="AR15" s="668">
        <f t="shared" ref="AR15" si="2">SUM(AP15:AQ18)/4</f>
        <v>0.48630270508474571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866">
        <v>14750000</v>
      </c>
      <c r="AJ16" s="866"/>
      <c r="AK16" s="866"/>
      <c r="AL16" s="866">
        <v>8885037.6600000001</v>
      </c>
      <c r="AM16" s="866"/>
      <c r="AN16" s="866"/>
      <c r="AO16" s="866"/>
      <c r="AP16" s="674">
        <f t="shared" si="1"/>
        <v>0.60237543457627118</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866">
        <v>14750000</v>
      </c>
      <c r="AJ17" s="866"/>
      <c r="AK17" s="866"/>
      <c r="AL17" s="866">
        <v>10667349.939999999</v>
      </c>
      <c r="AM17" s="866"/>
      <c r="AN17" s="866"/>
      <c r="AO17" s="866"/>
      <c r="AP17" s="674">
        <f t="shared" si="1"/>
        <v>0.72321016542372873</v>
      </c>
      <c r="AQ17" s="674"/>
      <c r="AR17" s="668"/>
    </row>
    <row r="18" spans="2:44" ht="28.5" customHeight="1">
      <c r="B18" s="43"/>
      <c r="C18" s="607"/>
      <c r="D18" s="608"/>
      <c r="E18" s="644"/>
      <c r="F18" s="644"/>
      <c r="G18" s="632"/>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866">
        <v>14750000</v>
      </c>
      <c r="AJ18" s="866"/>
      <c r="AK18" s="866"/>
      <c r="AL18" s="866"/>
      <c r="AM18" s="866"/>
      <c r="AN18" s="866"/>
      <c r="AO18" s="866"/>
      <c r="AP18" s="674">
        <f t="shared" si="1"/>
        <v>0</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865"/>
      <c r="AJ19" s="865"/>
      <c r="AK19" s="865"/>
      <c r="AL19" s="865"/>
      <c r="AM19" s="865"/>
      <c r="AN19" s="865"/>
      <c r="AO19" s="865"/>
      <c r="AP19" s="671" t="e">
        <f t="shared" si="1"/>
        <v>#DIV/0!</v>
      </c>
      <c r="AQ19" s="671"/>
      <c r="AR19" s="669" t="e">
        <f t="shared" ref="AR19" si="3">SUM(AP19:AQ22)/4</f>
        <v>#DIV/0!</v>
      </c>
    </row>
    <row r="20" spans="2:44" ht="45.4" customHeight="1">
      <c r="B20" s="607"/>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865"/>
      <c r="AJ20" s="865"/>
      <c r="AK20" s="865"/>
      <c r="AL20" s="865"/>
      <c r="AM20" s="865"/>
      <c r="AN20" s="865"/>
      <c r="AO20" s="865"/>
      <c r="AP20" s="671" t="e">
        <f t="shared" si="1"/>
        <v>#DIV/0!</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865"/>
      <c r="AJ21" s="865"/>
      <c r="AK21" s="865"/>
      <c r="AL21" s="865"/>
      <c r="AM21" s="865"/>
      <c r="AN21" s="865"/>
      <c r="AO21" s="865"/>
      <c r="AP21" s="671" t="e">
        <f t="shared" si="1"/>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672"/>
      <c r="AJ22" s="672"/>
      <c r="AK22" s="672"/>
      <c r="AL22" s="672"/>
      <c r="AM22" s="672"/>
      <c r="AN22" s="672"/>
      <c r="AO22" s="672"/>
      <c r="AP22" s="671" t="e">
        <f t="shared" si="1"/>
        <v>#DIV/0!</v>
      </c>
      <c r="AQ22" s="671"/>
      <c r="AR22" s="669"/>
    </row>
    <row r="23" spans="2:44" ht="18.95" customHeight="1">
      <c r="B23" s="633" t="s">
        <v>25</v>
      </c>
      <c r="C23" s="633"/>
      <c r="D23" s="859">
        <f>AL15</f>
        <v>9139472</v>
      </c>
      <c r="E23" s="860"/>
      <c r="F23" s="861"/>
      <c r="G23" s="862">
        <f>AL16</f>
        <v>8885037.6600000001</v>
      </c>
      <c r="H23" s="863"/>
      <c r="I23" s="863"/>
      <c r="J23" s="863"/>
      <c r="K23" s="863"/>
      <c r="L23" s="863"/>
      <c r="M23" s="864"/>
      <c r="N23" s="859">
        <f>AL17</f>
        <v>10667349.939999999</v>
      </c>
      <c r="O23" s="860"/>
      <c r="P23" s="860"/>
      <c r="Q23" s="860"/>
      <c r="R23" s="860"/>
      <c r="S23" s="861"/>
      <c r="T23" s="862">
        <f>AL18</f>
        <v>0</v>
      </c>
      <c r="U23" s="863"/>
      <c r="V23" s="863"/>
      <c r="W23" s="863"/>
      <c r="X23" s="864"/>
      <c r="Z23" s="52"/>
      <c r="AA23" s="52"/>
    </row>
    <row r="24" spans="2:44" ht="18.95" customHeight="1">
      <c r="B24" s="633" t="s">
        <v>26</v>
      </c>
      <c r="C24" s="633"/>
      <c r="D24" s="859">
        <f>AI15</f>
        <v>14750000</v>
      </c>
      <c r="E24" s="860"/>
      <c r="F24" s="861"/>
      <c r="G24" s="862">
        <f>AI16</f>
        <v>14750000</v>
      </c>
      <c r="H24" s="863"/>
      <c r="I24" s="863"/>
      <c r="J24" s="863"/>
      <c r="K24" s="863"/>
      <c r="L24" s="863"/>
      <c r="M24" s="864"/>
      <c r="N24" s="859">
        <f>AI17</f>
        <v>14750000</v>
      </c>
      <c r="O24" s="860"/>
      <c r="P24" s="860"/>
      <c r="Q24" s="860"/>
      <c r="R24" s="860"/>
      <c r="S24" s="861"/>
      <c r="T24" s="862">
        <f>AI18</f>
        <v>14750000</v>
      </c>
      <c r="U24" s="863"/>
      <c r="V24" s="863"/>
      <c r="W24" s="863"/>
      <c r="X24" s="864"/>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0.61962522033898304</v>
      </c>
      <c r="D27" s="686">
        <f>$E$18</f>
        <v>0</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0.60237543457627118</v>
      </c>
      <c r="D30" s="686">
        <f t="shared" ref="D30:D36" si="5">$E$18</f>
        <v>0</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0.72321016542372873</v>
      </c>
      <c r="D33" s="686">
        <f t="shared" si="5"/>
        <v>0</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0</v>
      </c>
      <c r="D36" s="686">
        <f t="shared" si="5"/>
        <v>0</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2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D23:F23"/>
    <mergeCell ref="G23:M23"/>
    <mergeCell ref="N23:S23"/>
    <mergeCell ref="T23:X23"/>
    <mergeCell ref="D24:F24"/>
    <mergeCell ref="G24:M24"/>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80" workbookViewId="0">
      <selection activeCell="AL21" sqref="AL21:AO2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987" t="s">
        <v>194</v>
      </c>
      <c r="AC3" s="1007"/>
      <c r="AD3" s="1007"/>
      <c r="AE3" s="1007"/>
      <c r="AF3" s="1007"/>
      <c r="AG3" s="1007"/>
      <c r="AH3" s="1007"/>
      <c r="AI3" s="1007"/>
      <c r="AJ3" s="1007"/>
      <c r="AK3" s="1007"/>
      <c r="AL3" s="1007"/>
      <c r="AM3" s="1007"/>
      <c r="AN3" s="1007"/>
      <c r="AO3" s="1007"/>
      <c r="AP3" s="1007"/>
      <c r="AQ3" s="1007"/>
      <c r="AR3" s="988"/>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989"/>
      <c r="AC4" s="1008"/>
      <c r="AD4" s="1008"/>
      <c r="AE4" s="1008"/>
      <c r="AF4" s="1008"/>
      <c r="AG4" s="1008"/>
      <c r="AH4" s="1008"/>
      <c r="AI4" s="1008"/>
      <c r="AJ4" s="1008"/>
      <c r="AK4" s="1008"/>
      <c r="AL4" s="1008"/>
      <c r="AM4" s="1008"/>
      <c r="AN4" s="1008"/>
      <c r="AO4" s="1008"/>
      <c r="AP4" s="1008"/>
      <c r="AQ4" s="1008"/>
      <c r="AR4" s="990"/>
    </row>
    <row r="5" spans="2:44" s="41" customFormat="1" ht="14.25" customHeight="1">
      <c r="B5" s="60"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981" t="s">
        <v>143</v>
      </c>
      <c r="AC5" s="982"/>
      <c r="AD5" s="981" t="s">
        <v>144</v>
      </c>
      <c r="AE5" s="985"/>
      <c r="AF5" s="985"/>
      <c r="AG5" s="985"/>
      <c r="AH5" s="982"/>
      <c r="AI5" s="981" t="s">
        <v>145</v>
      </c>
      <c r="AJ5" s="985"/>
      <c r="AK5" s="982"/>
      <c r="AL5" s="981" t="s">
        <v>146</v>
      </c>
      <c r="AM5" s="985"/>
      <c r="AN5" s="985"/>
      <c r="AO5" s="982"/>
      <c r="AP5" s="987" t="s">
        <v>149</v>
      </c>
      <c r="AQ5" s="988"/>
      <c r="AR5" s="991"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983"/>
      <c r="AC6" s="984"/>
      <c r="AD6" s="983"/>
      <c r="AE6" s="986"/>
      <c r="AF6" s="986"/>
      <c r="AG6" s="986"/>
      <c r="AH6" s="984"/>
      <c r="AI6" s="983"/>
      <c r="AJ6" s="986"/>
      <c r="AK6" s="984"/>
      <c r="AL6" s="983"/>
      <c r="AM6" s="986"/>
      <c r="AN6" s="986"/>
      <c r="AO6" s="984"/>
      <c r="AP6" s="989"/>
      <c r="AQ6" s="990"/>
      <c r="AR6" s="992"/>
    </row>
    <row r="7" spans="2:44" ht="14.25" customHeight="1">
      <c r="B7" s="645" t="s">
        <v>76</v>
      </c>
      <c r="C7" s="646"/>
      <c r="D7" s="646"/>
      <c r="E7" s="646"/>
      <c r="F7" s="647"/>
      <c r="G7" s="651" t="s">
        <v>93</v>
      </c>
      <c r="H7" s="652"/>
      <c r="I7" s="652"/>
      <c r="J7" s="652"/>
      <c r="K7" s="652"/>
      <c r="L7" s="652"/>
      <c r="M7" s="652"/>
      <c r="N7" s="652"/>
      <c r="O7" s="652"/>
      <c r="P7" s="652"/>
      <c r="Q7" s="652"/>
      <c r="R7" s="652"/>
      <c r="S7" s="652"/>
      <c r="T7" s="652"/>
      <c r="U7" s="652"/>
      <c r="V7" s="652"/>
      <c r="W7" s="652"/>
      <c r="X7" s="653"/>
      <c r="AB7" s="736">
        <v>2019</v>
      </c>
      <c r="AC7" s="737"/>
      <c r="AD7" s="712" t="s">
        <v>127</v>
      </c>
      <c r="AE7" s="713"/>
      <c r="AF7" s="713"/>
      <c r="AG7" s="713"/>
      <c r="AH7" s="714"/>
      <c r="AI7" s="1018" t="s">
        <v>204</v>
      </c>
      <c r="AJ7" s="1019"/>
      <c r="AK7" s="1020"/>
      <c r="AL7" s="1009" t="s">
        <v>204</v>
      </c>
      <c r="AM7" s="1010"/>
      <c r="AN7" s="1010"/>
      <c r="AO7" s="1011"/>
      <c r="AP7" s="705" t="s">
        <v>204</v>
      </c>
      <c r="AQ7" s="706"/>
      <c r="AR7" s="94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738"/>
      <c r="AC8" s="739"/>
      <c r="AD8" s="712" t="s">
        <v>128</v>
      </c>
      <c r="AE8" s="713"/>
      <c r="AF8" s="713"/>
      <c r="AG8" s="713"/>
      <c r="AH8" s="714"/>
      <c r="AI8" s="1021"/>
      <c r="AJ8" s="1022"/>
      <c r="AK8" s="1023"/>
      <c r="AL8" s="1012"/>
      <c r="AM8" s="1013"/>
      <c r="AN8" s="1013"/>
      <c r="AO8" s="1014"/>
      <c r="AP8" s="707"/>
      <c r="AQ8" s="708"/>
      <c r="AR8" s="949"/>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738"/>
      <c r="AC9" s="739"/>
      <c r="AD9" s="712" t="s">
        <v>129</v>
      </c>
      <c r="AE9" s="713"/>
      <c r="AF9" s="713"/>
      <c r="AG9" s="713"/>
      <c r="AH9" s="714"/>
      <c r="AI9" s="1021"/>
      <c r="AJ9" s="1022"/>
      <c r="AK9" s="1023"/>
      <c r="AL9" s="1012"/>
      <c r="AM9" s="1013"/>
      <c r="AN9" s="1013"/>
      <c r="AO9" s="1014"/>
      <c r="AP9" s="707"/>
      <c r="AQ9" s="708"/>
      <c r="AR9" s="949"/>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740"/>
      <c r="AC10" s="741"/>
      <c r="AD10" s="712" t="s">
        <v>130</v>
      </c>
      <c r="AE10" s="713"/>
      <c r="AF10" s="713"/>
      <c r="AG10" s="713"/>
      <c r="AH10" s="714"/>
      <c r="AI10" s="1024"/>
      <c r="AJ10" s="1025"/>
      <c r="AK10" s="1026"/>
      <c r="AL10" s="1015"/>
      <c r="AM10" s="1016"/>
      <c r="AN10" s="1016"/>
      <c r="AO10" s="1017"/>
      <c r="AP10" s="709"/>
      <c r="AQ10" s="710"/>
      <c r="AR10" s="950"/>
    </row>
    <row r="11" spans="2:44" ht="38.25" customHeight="1">
      <c r="B11" s="640" t="s">
        <v>189</v>
      </c>
      <c r="C11" s="640"/>
      <c r="D11" s="640"/>
      <c r="E11" s="640"/>
      <c r="F11" s="640"/>
      <c r="G11" s="640"/>
      <c r="H11" s="640"/>
      <c r="I11" s="640"/>
      <c r="J11" s="640"/>
      <c r="K11" s="640"/>
      <c r="L11" s="640"/>
      <c r="M11" s="640"/>
      <c r="N11" s="640"/>
      <c r="O11" s="640"/>
      <c r="P11" s="640"/>
      <c r="Q11" s="640"/>
      <c r="R11" s="640"/>
      <c r="S11" s="640"/>
      <c r="T11" s="640"/>
      <c r="U11" s="640"/>
      <c r="V11" s="640"/>
      <c r="W11" s="640"/>
      <c r="X11" s="640"/>
      <c r="AB11" s="1001">
        <v>2020</v>
      </c>
      <c r="AC11" s="1002"/>
      <c r="AD11" s="975" t="s">
        <v>131</v>
      </c>
      <c r="AE11" s="976"/>
      <c r="AF11" s="976"/>
      <c r="AG11" s="976"/>
      <c r="AH11" s="977"/>
      <c r="AI11" s="978">
        <v>1</v>
      </c>
      <c r="AJ11" s="979"/>
      <c r="AK11" s="980"/>
      <c r="AL11" s="978">
        <v>1</v>
      </c>
      <c r="AM11" s="979"/>
      <c r="AN11" s="979"/>
      <c r="AO11" s="980"/>
      <c r="AP11" s="994">
        <f t="shared" ref="AP11:AP12" si="0">AL11/AI11</f>
        <v>1</v>
      </c>
      <c r="AQ11" s="995"/>
      <c r="AR11" s="75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1003"/>
      <c r="AC12" s="1004"/>
      <c r="AD12" s="975" t="s">
        <v>132</v>
      </c>
      <c r="AE12" s="976"/>
      <c r="AF12" s="976"/>
      <c r="AG12" s="976"/>
      <c r="AH12" s="977"/>
      <c r="AI12" s="978">
        <v>2</v>
      </c>
      <c r="AJ12" s="979"/>
      <c r="AK12" s="980"/>
      <c r="AL12" s="978">
        <v>2</v>
      </c>
      <c r="AM12" s="979"/>
      <c r="AN12" s="979"/>
      <c r="AO12" s="980"/>
      <c r="AP12" s="994">
        <f t="shared" si="0"/>
        <v>1</v>
      </c>
      <c r="AQ12" s="995"/>
      <c r="AR12" s="993"/>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1003"/>
      <c r="AC13" s="1004"/>
      <c r="AD13" s="975" t="s">
        <v>133</v>
      </c>
      <c r="AE13" s="976"/>
      <c r="AF13" s="976"/>
      <c r="AG13" s="976"/>
      <c r="AH13" s="977"/>
      <c r="AI13" s="978">
        <v>3</v>
      </c>
      <c r="AJ13" s="979"/>
      <c r="AK13" s="980"/>
      <c r="AL13" s="978">
        <v>3</v>
      </c>
      <c r="AM13" s="979"/>
      <c r="AN13" s="979"/>
      <c r="AO13" s="980"/>
      <c r="AP13" s="994">
        <f t="shared" ref="AP13:AP22" si="1">AL13/AI13</f>
        <v>1</v>
      </c>
      <c r="AQ13" s="995"/>
      <c r="AR13" s="993"/>
    </row>
    <row r="14" spans="2:44" ht="29.25" customHeight="1">
      <c r="B14" s="632" t="s">
        <v>412</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1005"/>
      <c r="AC14" s="1006"/>
      <c r="AD14" s="975" t="s">
        <v>134</v>
      </c>
      <c r="AE14" s="976"/>
      <c r="AF14" s="976"/>
      <c r="AG14" s="976"/>
      <c r="AH14" s="977"/>
      <c r="AI14" s="978">
        <v>3</v>
      </c>
      <c r="AJ14" s="979"/>
      <c r="AK14" s="980"/>
      <c r="AL14" s="978">
        <v>3</v>
      </c>
      <c r="AM14" s="979"/>
      <c r="AN14" s="979"/>
      <c r="AO14" s="980"/>
      <c r="AP14" s="994">
        <f t="shared" si="1"/>
        <v>1</v>
      </c>
      <c r="AQ14" s="995"/>
      <c r="AR14" s="760"/>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736">
        <v>2021</v>
      </c>
      <c r="AC15" s="737"/>
      <c r="AD15" s="712" t="s">
        <v>135</v>
      </c>
      <c r="AE15" s="713"/>
      <c r="AF15" s="713"/>
      <c r="AG15" s="713"/>
      <c r="AH15" s="714"/>
      <c r="AI15" s="996">
        <v>1</v>
      </c>
      <c r="AJ15" s="997"/>
      <c r="AK15" s="998"/>
      <c r="AL15" s="996">
        <v>1</v>
      </c>
      <c r="AM15" s="997"/>
      <c r="AN15" s="997"/>
      <c r="AO15" s="998"/>
      <c r="AP15" s="999">
        <f t="shared" si="1"/>
        <v>1</v>
      </c>
      <c r="AQ15" s="1000"/>
      <c r="AR15" s="948">
        <f t="shared" ref="AR15" si="2">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738"/>
      <c r="AC16" s="739"/>
      <c r="AD16" s="712" t="s">
        <v>136</v>
      </c>
      <c r="AE16" s="713"/>
      <c r="AF16" s="713"/>
      <c r="AG16" s="713"/>
      <c r="AH16" s="714"/>
      <c r="AI16" s="996">
        <v>1</v>
      </c>
      <c r="AJ16" s="997"/>
      <c r="AK16" s="998"/>
      <c r="AL16" s="996">
        <v>1</v>
      </c>
      <c r="AM16" s="997"/>
      <c r="AN16" s="997"/>
      <c r="AO16" s="998"/>
      <c r="AP16" s="999">
        <f t="shared" si="1"/>
        <v>1</v>
      </c>
      <c r="AQ16" s="1000"/>
      <c r="AR16" s="949"/>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738"/>
      <c r="AC17" s="739"/>
      <c r="AD17" s="712" t="s">
        <v>137</v>
      </c>
      <c r="AE17" s="713"/>
      <c r="AF17" s="713"/>
      <c r="AG17" s="713"/>
      <c r="AH17" s="714"/>
      <c r="AI17" s="996">
        <v>1</v>
      </c>
      <c r="AJ17" s="997"/>
      <c r="AK17" s="998"/>
      <c r="AL17" s="996">
        <v>1</v>
      </c>
      <c r="AM17" s="997"/>
      <c r="AN17" s="997"/>
      <c r="AO17" s="998"/>
      <c r="AP17" s="999">
        <f t="shared" si="1"/>
        <v>1</v>
      </c>
      <c r="AQ17" s="1000"/>
      <c r="AR17" s="949"/>
    </row>
    <row r="18" spans="2:44" ht="28.5" customHeight="1">
      <c r="B18" s="59" t="s">
        <v>188</v>
      </c>
      <c r="C18" s="607" t="s">
        <v>112</v>
      </c>
      <c r="D18" s="608"/>
      <c r="E18" s="644">
        <v>1</v>
      </c>
      <c r="F18" s="644"/>
      <c r="G18" s="632" t="s">
        <v>377</v>
      </c>
      <c r="H18" s="632"/>
      <c r="I18" s="632"/>
      <c r="J18" s="632"/>
      <c r="K18" s="632"/>
      <c r="L18" s="632"/>
      <c r="M18" s="595" t="s">
        <v>123</v>
      </c>
      <c r="N18" s="595"/>
      <c r="O18" s="595"/>
      <c r="P18" s="595"/>
      <c r="Q18" s="595"/>
      <c r="R18" s="596" t="s">
        <v>124</v>
      </c>
      <c r="S18" s="596"/>
      <c r="T18" s="596"/>
      <c r="U18" s="596"/>
      <c r="V18" s="597" t="s">
        <v>125</v>
      </c>
      <c r="W18" s="597"/>
      <c r="X18" s="597"/>
      <c r="AB18" s="740"/>
      <c r="AC18" s="741"/>
      <c r="AD18" s="712" t="s">
        <v>138</v>
      </c>
      <c r="AE18" s="713"/>
      <c r="AF18" s="713"/>
      <c r="AG18" s="713"/>
      <c r="AH18" s="714"/>
      <c r="AI18" s="996">
        <v>1</v>
      </c>
      <c r="AJ18" s="997"/>
      <c r="AK18" s="998"/>
      <c r="AL18" s="996">
        <v>1</v>
      </c>
      <c r="AM18" s="997"/>
      <c r="AN18" s="997"/>
      <c r="AO18" s="998"/>
      <c r="AP18" s="999">
        <f t="shared" si="1"/>
        <v>1</v>
      </c>
      <c r="AQ18" s="1000"/>
      <c r="AR18" s="950"/>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1001">
        <v>2022</v>
      </c>
      <c r="AC19" s="1002"/>
      <c r="AD19" s="975" t="s">
        <v>139</v>
      </c>
      <c r="AE19" s="976"/>
      <c r="AF19" s="976"/>
      <c r="AG19" s="976"/>
      <c r="AH19" s="977"/>
      <c r="AI19" s="978">
        <v>1</v>
      </c>
      <c r="AJ19" s="979"/>
      <c r="AK19" s="980"/>
      <c r="AL19" s="978">
        <v>1</v>
      </c>
      <c r="AM19" s="979"/>
      <c r="AN19" s="979"/>
      <c r="AO19" s="980"/>
      <c r="AP19" s="994">
        <f t="shared" si="1"/>
        <v>1</v>
      </c>
      <c r="AQ19" s="995"/>
      <c r="AR19" s="759" t="e">
        <f t="shared" ref="AR19" si="3">SUM(AP19:AQ22)/4</f>
        <v>#DIV/0!</v>
      </c>
    </row>
    <row r="20" spans="2:44" ht="45.4" customHeight="1">
      <c r="B20" s="607" t="s">
        <v>413</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1003"/>
      <c r="AC20" s="1004"/>
      <c r="AD20" s="975" t="s">
        <v>140</v>
      </c>
      <c r="AE20" s="976"/>
      <c r="AF20" s="976"/>
      <c r="AG20" s="976"/>
      <c r="AH20" s="977"/>
      <c r="AI20" s="978">
        <v>1</v>
      </c>
      <c r="AJ20" s="979"/>
      <c r="AK20" s="980"/>
      <c r="AL20" s="978">
        <v>1</v>
      </c>
      <c r="AM20" s="979"/>
      <c r="AN20" s="979"/>
      <c r="AO20" s="980"/>
      <c r="AP20" s="994">
        <f t="shared" si="1"/>
        <v>1</v>
      </c>
      <c r="AQ20" s="995"/>
      <c r="AR20" s="993"/>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1003"/>
      <c r="AC21" s="1004"/>
      <c r="AD21" s="975" t="s">
        <v>141</v>
      </c>
      <c r="AE21" s="976"/>
      <c r="AF21" s="976"/>
      <c r="AG21" s="976"/>
      <c r="AH21" s="977"/>
      <c r="AI21" s="978"/>
      <c r="AJ21" s="979"/>
      <c r="AK21" s="980"/>
      <c r="AL21" s="978"/>
      <c r="AM21" s="979"/>
      <c r="AN21" s="979"/>
      <c r="AO21" s="980"/>
      <c r="AP21" s="994" t="e">
        <f t="shared" si="1"/>
        <v>#DIV/0!</v>
      </c>
      <c r="AQ21" s="995"/>
      <c r="AR21" s="993"/>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1005"/>
      <c r="AC22" s="1006"/>
      <c r="AD22" s="975" t="s">
        <v>142</v>
      </c>
      <c r="AE22" s="976"/>
      <c r="AF22" s="976"/>
      <c r="AG22" s="976"/>
      <c r="AH22" s="977"/>
      <c r="AI22" s="978"/>
      <c r="AJ22" s="979"/>
      <c r="AK22" s="980"/>
      <c r="AL22" s="978"/>
      <c r="AM22" s="979"/>
      <c r="AN22" s="979"/>
      <c r="AO22" s="980"/>
      <c r="AP22" s="994" t="e">
        <f t="shared" si="1"/>
        <v>#DIV/0!</v>
      </c>
      <c r="AQ22" s="995"/>
      <c r="AR22" s="760"/>
    </row>
    <row r="23" spans="2:44" ht="18.95" customHeight="1">
      <c r="B23" s="633" t="s">
        <v>25</v>
      </c>
      <c r="C23" s="633"/>
      <c r="D23" s="682">
        <f>AL15</f>
        <v>1</v>
      </c>
      <c r="E23" s="683"/>
      <c r="F23" s="684"/>
      <c r="G23" s="685">
        <f>AL16</f>
        <v>1</v>
      </c>
      <c r="H23" s="872"/>
      <c r="I23" s="872"/>
      <c r="J23" s="872"/>
      <c r="K23" s="872"/>
      <c r="L23" s="872"/>
      <c r="M23" s="873"/>
      <c r="N23" s="682">
        <f>AL17</f>
        <v>1</v>
      </c>
      <c r="O23" s="683"/>
      <c r="P23" s="683"/>
      <c r="Q23" s="683"/>
      <c r="R23" s="683"/>
      <c r="S23" s="684"/>
      <c r="T23" s="685">
        <f>AL18</f>
        <v>1</v>
      </c>
      <c r="U23" s="643"/>
      <c r="V23" s="643"/>
      <c r="W23" s="643"/>
      <c r="X23" s="608"/>
      <c r="Z23" s="52"/>
      <c r="AA23" s="52"/>
    </row>
    <row r="24" spans="2:44" ht="18.95" customHeight="1">
      <c r="B24" s="633" t="s">
        <v>26</v>
      </c>
      <c r="C24" s="633"/>
      <c r="D24" s="682">
        <f>AI15</f>
        <v>1</v>
      </c>
      <c r="E24" s="683"/>
      <c r="F24" s="684"/>
      <c r="G24" s="685">
        <f>AI16</f>
        <v>1</v>
      </c>
      <c r="H24" s="643"/>
      <c r="I24" s="643"/>
      <c r="J24" s="643"/>
      <c r="K24" s="643"/>
      <c r="L24" s="643"/>
      <c r="M24" s="608"/>
      <c r="N24" s="682">
        <f>AI17</f>
        <v>1</v>
      </c>
      <c r="O24" s="683"/>
      <c r="P24" s="683"/>
      <c r="Q24" s="683"/>
      <c r="R24" s="683"/>
      <c r="S24" s="684"/>
      <c r="T24" s="685">
        <f>AI18</f>
        <v>1</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t="s">
        <v>351</v>
      </c>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AP15:AQ15"/>
    <mergeCell ref="AL15:AO15"/>
    <mergeCell ref="AI15:AK15"/>
    <mergeCell ref="AD15:AH15"/>
    <mergeCell ref="AB15:AC18"/>
    <mergeCell ref="AB3:AR4"/>
    <mergeCell ref="AD7:AH7"/>
    <mergeCell ref="AB7:AC10"/>
    <mergeCell ref="AP7:AQ10"/>
    <mergeCell ref="AL7:AO10"/>
    <mergeCell ref="AI7:AK10"/>
    <mergeCell ref="AP14:AQ14"/>
    <mergeCell ref="AL13:AO13"/>
    <mergeCell ref="AP11:AQ11"/>
    <mergeCell ref="AL11:AO11"/>
    <mergeCell ref="AI11:AK11"/>
    <mergeCell ref="AD11:AH11"/>
    <mergeCell ref="AB11:AC14"/>
    <mergeCell ref="AR15:AR18"/>
    <mergeCell ref="AP18:AQ18"/>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I47:X47"/>
    <mergeCell ref="B48:X48"/>
    <mergeCell ref="G50:H50"/>
    <mergeCell ref="I50:X50"/>
    <mergeCell ref="B42:X42"/>
    <mergeCell ref="B43:X43"/>
    <mergeCell ref="B44:X44"/>
    <mergeCell ref="G45:H45"/>
    <mergeCell ref="I45:J45"/>
    <mergeCell ref="K45:L45"/>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B15:X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1:X11"/>
    <mergeCell ref="B7:F8"/>
    <mergeCell ref="G7:X8"/>
    <mergeCell ref="AR7:AR10"/>
    <mergeCell ref="W5:X5"/>
    <mergeCell ref="AB5:AC6"/>
    <mergeCell ref="AD5:AH6"/>
    <mergeCell ref="AI5:AK6"/>
    <mergeCell ref="AL5:AO6"/>
    <mergeCell ref="AP5:AQ6"/>
    <mergeCell ref="AD8:AH8"/>
    <mergeCell ref="B9:X9"/>
    <mergeCell ref="AD9:AH9"/>
    <mergeCell ref="B10:X10"/>
    <mergeCell ref="AD10:AH10"/>
    <mergeCell ref="AR5:AR6"/>
    <mergeCell ref="B6:X6"/>
    <mergeCell ref="AB1:AR1"/>
    <mergeCell ref="B1:T1"/>
    <mergeCell ref="U1:X4"/>
    <mergeCell ref="B2:T4"/>
    <mergeCell ref="C5:D5"/>
    <mergeCell ref="E5:G5"/>
    <mergeCell ref="H5:J5"/>
    <mergeCell ref="K5:N5"/>
    <mergeCell ref="O5:R5"/>
    <mergeCell ref="S5:V5"/>
  </mergeCells>
  <pageMargins left="0.23622047244094491" right="0.23622047244094491" top="0.31496062992125984" bottom="0" header="0.51181102362204722" footer="0.51181102362204722"/>
  <pageSetup scale="46"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AL20" sqref="AL20:AO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60"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93</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1018" t="s">
        <v>204</v>
      </c>
      <c r="AJ7" s="1019"/>
      <c r="AK7" s="1020"/>
      <c r="AL7" s="1009" t="s">
        <v>204</v>
      </c>
      <c r="AM7" s="1010"/>
      <c r="AN7" s="1010"/>
      <c r="AO7" s="1011"/>
      <c r="AP7" s="705" t="s">
        <v>204</v>
      </c>
      <c r="AQ7" s="706"/>
      <c r="AR7" s="66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1021"/>
      <c r="AJ8" s="1022"/>
      <c r="AK8" s="1023"/>
      <c r="AL8" s="1012"/>
      <c r="AM8" s="1013"/>
      <c r="AN8" s="1013"/>
      <c r="AO8" s="1014"/>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1021"/>
      <c r="AJ9" s="1022"/>
      <c r="AK9" s="1023"/>
      <c r="AL9" s="1012"/>
      <c r="AM9" s="1013"/>
      <c r="AN9" s="1013"/>
      <c r="AO9" s="1014"/>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1024"/>
      <c r="AJ10" s="1025"/>
      <c r="AK10" s="1026"/>
      <c r="AL10" s="1015"/>
      <c r="AM10" s="1016"/>
      <c r="AN10" s="1016"/>
      <c r="AO10" s="1017"/>
      <c r="AP10" s="709"/>
      <c r="AQ10" s="710"/>
      <c r="AR10" s="668"/>
    </row>
    <row r="11" spans="2:44" ht="38.25" customHeight="1">
      <c r="B11" s="640" t="s">
        <v>190</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1027">
        <v>2</v>
      </c>
      <c r="AJ11" s="1027"/>
      <c r="AK11" s="1027"/>
      <c r="AL11" s="1027">
        <v>2</v>
      </c>
      <c r="AM11" s="1027"/>
      <c r="AN11" s="1027"/>
      <c r="AO11" s="1027"/>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1027">
        <v>3</v>
      </c>
      <c r="AJ12" s="1027"/>
      <c r="AK12" s="1027"/>
      <c r="AL12" s="1027">
        <v>3</v>
      </c>
      <c r="AM12" s="1027"/>
      <c r="AN12" s="1027"/>
      <c r="AO12" s="1027"/>
      <c r="AP12" s="671">
        <f t="shared" ref="AP12:AP22" si="0">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1027">
        <v>3</v>
      </c>
      <c r="AJ13" s="1027"/>
      <c r="AK13" s="1027"/>
      <c r="AL13" s="1027">
        <v>3</v>
      </c>
      <c r="AM13" s="1027"/>
      <c r="AN13" s="1027"/>
      <c r="AO13" s="1027"/>
      <c r="AP13" s="671">
        <f t="shared" si="0"/>
        <v>1</v>
      </c>
      <c r="AQ13" s="671"/>
      <c r="AR13" s="669"/>
    </row>
    <row r="14" spans="2:44" ht="29.25" customHeight="1">
      <c r="B14" s="632" t="s">
        <v>424</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1027">
        <v>3</v>
      </c>
      <c r="AJ14" s="1027"/>
      <c r="AK14" s="1027"/>
      <c r="AL14" s="1027">
        <v>3</v>
      </c>
      <c r="AM14" s="1027"/>
      <c r="AN14" s="1027"/>
      <c r="AO14" s="1027"/>
      <c r="AP14" s="671">
        <f t="shared" si="0"/>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1028">
        <v>2</v>
      </c>
      <c r="AJ15" s="1028"/>
      <c r="AK15" s="1028"/>
      <c r="AL15" s="1028">
        <v>2</v>
      </c>
      <c r="AM15" s="1028"/>
      <c r="AN15" s="1028"/>
      <c r="AO15" s="1028"/>
      <c r="AP15" s="674">
        <f t="shared" si="0"/>
        <v>1</v>
      </c>
      <c r="AQ15" s="674"/>
      <c r="AR15" s="668">
        <f t="shared" ref="AR15" si="1">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1028">
        <v>1</v>
      </c>
      <c r="AJ16" s="1028"/>
      <c r="AK16" s="1028"/>
      <c r="AL16" s="1028">
        <v>1</v>
      </c>
      <c r="AM16" s="1028"/>
      <c r="AN16" s="1028"/>
      <c r="AO16" s="1028"/>
      <c r="AP16" s="674">
        <f t="shared" si="0"/>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1028">
        <v>1</v>
      </c>
      <c r="AJ17" s="1028"/>
      <c r="AK17" s="1028"/>
      <c r="AL17" s="1028">
        <v>1</v>
      </c>
      <c r="AM17" s="1028"/>
      <c r="AN17" s="1028"/>
      <c r="AO17" s="1028"/>
      <c r="AP17" s="674">
        <f t="shared" si="0"/>
        <v>1</v>
      </c>
      <c r="AQ17" s="674"/>
      <c r="AR17" s="668"/>
    </row>
    <row r="18" spans="2:44" ht="28.5" customHeight="1">
      <c r="B18" s="139" t="s">
        <v>188</v>
      </c>
      <c r="C18" s="607" t="s">
        <v>112</v>
      </c>
      <c r="D18" s="608"/>
      <c r="E18" s="644">
        <v>1</v>
      </c>
      <c r="F18" s="644"/>
      <c r="G18" s="632" t="s">
        <v>377</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1028">
        <v>1</v>
      </c>
      <c r="AJ18" s="1028"/>
      <c r="AK18" s="1028"/>
      <c r="AL18" s="1028">
        <v>1</v>
      </c>
      <c r="AM18" s="1028"/>
      <c r="AN18" s="1028"/>
      <c r="AO18" s="1028"/>
      <c r="AP18" s="674">
        <f t="shared" si="0"/>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1027">
        <v>1</v>
      </c>
      <c r="AJ19" s="1027"/>
      <c r="AK19" s="1027"/>
      <c r="AL19" s="1027">
        <v>1</v>
      </c>
      <c r="AM19" s="1027"/>
      <c r="AN19" s="1027"/>
      <c r="AO19" s="1027"/>
      <c r="AP19" s="671">
        <f t="shared" si="0"/>
        <v>1</v>
      </c>
      <c r="AQ19" s="671"/>
      <c r="AR19" s="669" t="e">
        <f t="shared" ref="AR19" si="2">SUM(AP19:AQ22)/4</f>
        <v>#DIV/0!</v>
      </c>
    </row>
    <row r="20" spans="2:44" ht="45.4" customHeight="1">
      <c r="B20" s="607" t="s">
        <v>423</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1027">
        <v>1</v>
      </c>
      <c r="AJ20" s="1027"/>
      <c r="AK20" s="1027"/>
      <c r="AL20" s="1027">
        <v>1</v>
      </c>
      <c r="AM20" s="1027"/>
      <c r="AN20" s="1027"/>
      <c r="AO20" s="1027"/>
      <c r="AP20" s="671">
        <f t="shared" si="0"/>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1027"/>
      <c r="AJ21" s="1027"/>
      <c r="AK21" s="1027"/>
      <c r="AL21" s="1027"/>
      <c r="AM21" s="1027"/>
      <c r="AN21" s="1027"/>
      <c r="AO21" s="1027"/>
      <c r="AP21" s="671" t="e">
        <f t="shared" si="0"/>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1027"/>
      <c r="AJ22" s="1027"/>
      <c r="AK22" s="1027"/>
      <c r="AL22" s="1027"/>
      <c r="AM22" s="1027"/>
      <c r="AN22" s="1027"/>
      <c r="AO22" s="1027"/>
      <c r="AP22" s="671" t="e">
        <f t="shared" si="0"/>
        <v>#DIV/0!</v>
      </c>
      <c r="AQ22" s="671"/>
      <c r="AR22" s="669"/>
    </row>
    <row r="23" spans="2:44" ht="18.95" customHeight="1">
      <c r="B23" s="633" t="s">
        <v>25</v>
      </c>
      <c r="C23" s="633"/>
      <c r="D23" s="682">
        <f>AL15</f>
        <v>2</v>
      </c>
      <c r="E23" s="683"/>
      <c r="F23" s="684"/>
      <c r="G23" s="685">
        <f>AL16</f>
        <v>1</v>
      </c>
      <c r="H23" s="872"/>
      <c r="I23" s="872"/>
      <c r="J23" s="872"/>
      <c r="K23" s="872"/>
      <c r="L23" s="872"/>
      <c r="M23" s="873"/>
      <c r="N23" s="682">
        <f>AL17</f>
        <v>1</v>
      </c>
      <c r="O23" s="683"/>
      <c r="P23" s="683"/>
      <c r="Q23" s="683"/>
      <c r="R23" s="683"/>
      <c r="S23" s="684"/>
      <c r="T23" s="685">
        <f>AL18</f>
        <v>1</v>
      </c>
      <c r="U23" s="643"/>
      <c r="V23" s="643"/>
      <c r="W23" s="643"/>
      <c r="X23" s="608"/>
      <c r="Z23" s="52"/>
      <c r="AA23" s="52"/>
    </row>
    <row r="24" spans="2:44" ht="18.95" customHeight="1">
      <c r="B24" s="633" t="s">
        <v>26</v>
      </c>
      <c r="C24" s="633"/>
      <c r="D24" s="682">
        <f>AI15</f>
        <v>2</v>
      </c>
      <c r="E24" s="683"/>
      <c r="F24" s="684"/>
      <c r="G24" s="685">
        <f>AI16</f>
        <v>1</v>
      </c>
      <c r="H24" s="643"/>
      <c r="I24" s="643"/>
      <c r="J24" s="643"/>
      <c r="K24" s="643"/>
      <c r="L24" s="643"/>
      <c r="M24" s="608"/>
      <c r="N24" s="682">
        <f>AI17</f>
        <v>1</v>
      </c>
      <c r="O24" s="683"/>
      <c r="P24" s="683"/>
      <c r="Q24" s="683"/>
      <c r="R24" s="683"/>
      <c r="S24" s="684"/>
      <c r="T24" s="685">
        <f>AI18</f>
        <v>1</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4">$E$18</f>
        <v>1</v>
      </c>
      <c r="E30" s="92">
        <f t="shared" si="3"/>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3"/>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3"/>
        <v>1</v>
      </c>
      <c r="F32" s="28"/>
      <c r="G32" s="28"/>
      <c r="H32" s="590"/>
      <c r="I32" s="590"/>
      <c r="J32" s="590"/>
      <c r="K32" s="590"/>
      <c r="L32" s="6"/>
      <c r="M32" s="5"/>
      <c r="N32" s="590"/>
      <c r="O32" s="590"/>
      <c r="P32" s="590"/>
      <c r="Q32" s="590"/>
      <c r="R32" s="590"/>
      <c r="S32" s="628"/>
      <c r="T32" s="628"/>
      <c r="U32" s="628"/>
      <c r="V32" s="628"/>
      <c r="W32" s="628"/>
      <c r="X32" s="629"/>
    </row>
    <row r="33" spans="2:43" ht="17.649999999999999" customHeight="1">
      <c r="B33" s="93" t="s">
        <v>37</v>
      </c>
      <c r="C33" s="686">
        <f>IF(ISERROR($N$23/$N$24),0,$N$23/$N$24)</f>
        <v>1</v>
      </c>
      <c r="D33" s="686">
        <f t="shared" si="4"/>
        <v>1</v>
      </c>
      <c r="E33" s="92">
        <f t="shared" si="3"/>
        <v>1</v>
      </c>
      <c r="F33" s="28"/>
      <c r="G33" s="28"/>
      <c r="H33" s="590"/>
      <c r="I33" s="590"/>
      <c r="J33" s="590"/>
      <c r="K33" s="590"/>
      <c r="L33" s="6"/>
      <c r="M33" s="5"/>
      <c r="N33" s="590"/>
      <c r="O33" s="590"/>
      <c r="P33" s="590"/>
      <c r="Q33" s="590"/>
      <c r="R33" s="590"/>
      <c r="S33" s="628"/>
      <c r="T33" s="628"/>
      <c r="U33" s="628"/>
      <c r="V33" s="628"/>
      <c r="W33" s="628"/>
      <c r="X33" s="629"/>
    </row>
    <row r="34" spans="2:43" ht="17.649999999999999" customHeight="1">
      <c r="B34" s="93" t="s">
        <v>38</v>
      </c>
      <c r="C34" s="687"/>
      <c r="D34" s="687"/>
      <c r="E34" s="92">
        <f t="shared" si="3"/>
        <v>1</v>
      </c>
      <c r="F34" s="28"/>
      <c r="G34" s="28"/>
      <c r="H34" s="590"/>
      <c r="I34" s="590"/>
      <c r="J34" s="590"/>
      <c r="K34" s="590"/>
      <c r="L34" s="6"/>
      <c r="M34" s="5"/>
      <c r="N34" s="590"/>
      <c r="O34" s="590"/>
      <c r="P34" s="590"/>
      <c r="Q34" s="590"/>
      <c r="R34" s="590"/>
      <c r="S34" s="628"/>
      <c r="T34" s="628"/>
      <c r="U34" s="628"/>
      <c r="V34" s="628"/>
      <c r="W34" s="628"/>
      <c r="X34" s="629"/>
    </row>
    <row r="35" spans="2:43" ht="17.649999999999999" customHeight="1">
      <c r="B35" s="93" t="s">
        <v>39</v>
      </c>
      <c r="C35" s="688"/>
      <c r="D35" s="688"/>
      <c r="E35" s="92">
        <f t="shared" si="3"/>
        <v>1</v>
      </c>
      <c r="F35" s="28"/>
      <c r="G35" s="28"/>
      <c r="H35" s="590"/>
      <c r="I35" s="590"/>
      <c r="J35" s="590"/>
      <c r="K35" s="590"/>
      <c r="L35" s="6"/>
      <c r="M35" s="5"/>
      <c r="N35" s="590"/>
      <c r="O35" s="590"/>
      <c r="P35" s="590"/>
      <c r="Q35" s="590"/>
      <c r="R35" s="590"/>
      <c r="S35" s="628"/>
      <c r="T35" s="628"/>
      <c r="U35" s="628"/>
      <c r="V35" s="628"/>
      <c r="W35" s="628"/>
      <c r="X35" s="629"/>
    </row>
    <row r="36" spans="2:43" ht="17.649999999999999" customHeight="1">
      <c r="B36" s="93" t="s">
        <v>40</v>
      </c>
      <c r="C36" s="686">
        <f>IF(ISERROR($T$23/$T$24),0,$T$23/$T$24)</f>
        <v>1</v>
      </c>
      <c r="D36" s="686">
        <f t="shared" si="4"/>
        <v>1</v>
      </c>
      <c r="E36" s="92">
        <f t="shared" si="3"/>
        <v>1</v>
      </c>
      <c r="F36" s="28"/>
      <c r="G36" s="28"/>
      <c r="H36" s="590"/>
      <c r="I36" s="590"/>
      <c r="J36" s="590"/>
      <c r="K36" s="590"/>
      <c r="L36" s="6"/>
      <c r="M36" s="5"/>
      <c r="N36" s="590"/>
      <c r="O36" s="590"/>
      <c r="P36" s="590"/>
      <c r="Q36" s="590"/>
      <c r="R36" s="590"/>
      <c r="S36" s="628"/>
      <c r="T36" s="628"/>
      <c r="U36" s="628"/>
      <c r="V36" s="628"/>
      <c r="W36" s="628"/>
      <c r="X36" s="629"/>
    </row>
    <row r="37" spans="2:43" ht="17.649999999999999" customHeight="1">
      <c r="B37" s="93" t="s">
        <v>41</v>
      </c>
      <c r="C37" s="687"/>
      <c r="D37" s="687"/>
      <c r="E37" s="92">
        <f t="shared" si="3"/>
        <v>1</v>
      </c>
      <c r="F37" s="28"/>
      <c r="G37" s="28"/>
      <c r="H37" s="590"/>
      <c r="I37" s="590"/>
      <c r="J37" s="590"/>
      <c r="K37" s="590"/>
      <c r="L37" s="6"/>
      <c r="M37" s="5"/>
      <c r="N37" s="590"/>
      <c r="O37" s="590"/>
      <c r="P37" s="590"/>
      <c r="Q37" s="590"/>
      <c r="R37" s="590"/>
      <c r="S37" s="628"/>
      <c r="T37" s="628"/>
      <c r="U37" s="628"/>
      <c r="V37" s="628"/>
      <c r="W37" s="628"/>
      <c r="X37" s="629"/>
    </row>
    <row r="38" spans="2:43"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43"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43"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43"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43"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43"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43"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43"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43" s="10" customFormat="1" ht="12.75">
      <c r="B46" s="603" t="s">
        <v>44</v>
      </c>
      <c r="C46" s="604"/>
      <c r="D46" s="604"/>
      <c r="E46" s="604"/>
      <c r="F46" s="604"/>
      <c r="G46" s="604"/>
      <c r="H46" s="604"/>
      <c r="I46" s="183"/>
      <c r="J46" s="184" t="s">
        <v>45</v>
      </c>
      <c r="K46" s="183"/>
      <c r="L46" s="757" t="s">
        <v>351</v>
      </c>
      <c r="M46" s="758"/>
      <c r="N46" s="183"/>
      <c r="O46" s="5" t="s">
        <v>46</v>
      </c>
      <c r="P46" s="183"/>
      <c r="Q46" s="607"/>
      <c r="R46" s="608"/>
      <c r="S46" s="183"/>
      <c r="T46" s="183"/>
      <c r="U46" s="183"/>
      <c r="V46" s="183"/>
      <c r="W46" s="183"/>
      <c r="X46" s="185"/>
      <c r="Y46" s="56"/>
      <c r="Z46" s="57"/>
      <c r="AA46" s="58"/>
      <c r="AB46" s="186"/>
      <c r="AC46" s="186"/>
      <c r="AD46" s="186"/>
      <c r="AE46" s="186"/>
      <c r="AF46" s="186"/>
      <c r="AG46" s="186"/>
      <c r="AH46" s="186"/>
      <c r="AI46" s="186"/>
      <c r="AJ46" s="186"/>
      <c r="AK46" s="186"/>
      <c r="AL46" s="186"/>
      <c r="AM46" s="186"/>
      <c r="AN46" s="186"/>
      <c r="AO46" s="186"/>
      <c r="AP46" s="186"/>
      <c r="AQ46" s="186"/>
    </row>
    <row r="47" spans="2:43"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43"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I47:X47"/>
    <mergeCell ref="B48:X48"/>
    <mergeCell ref="G50:H50"/>
    <mergeCell ref="I50:X50"/>
    <mergeCell ref="B42:X42"/>
    <mergeCell ref="B43:X43"/>
    <mergeCell ref="B44:X44"/>
    <mergeCell ref="G45:H45"/>
    <mergeCell ref="I45:J45"/>
    <mergeCell ref="K45:L45"/>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5:X15"/>
    <mergeCell ref="AB15:AC18"/>
    <mergeCell ref="AD15:AH15"/>
    <mergeCell ref="AI15:AK15"/>
    <mergeCell ref="AL15:AO15"/>
    <mergeCell ref="AP15:AQ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7:AR10"/>
    <mergeCell ref="W5:X5"/>
    <mergeCell ref="AB5:AC6"/>
    <mergeCell ref="AD5:AH6"/>
    <mergeCell ref="AI5:AK6"/>
    <mergeCell ref="AL5:AO6"/>
    <mergeCell ref="AP5:AQ6"/>
    <mergeCell ref="AD8:AH8"/>
    <mergeCell ref="B9:X9"/>
    <mergeCell ref="AD9:AH9"/>
    <mergeCell ref="B10:X10"/>
    <mergeCell ref="AD10:AH10"/>
    <mergeCell ref="B1:T1"/>
    <mergeCell ref="U1:X4"/>
    <mergeCell ref="B2:T4"/>
    <mergeCell ref="AB3:AR4"/>
    <mergeCell ref="C5:D5"/>
    <mergeCell ref="E5:G5"/>
    <mergeCell ref="H5:J5"/>
    <mergeCell ref="K5:N5"/>
    <mergeCell ref="O5:R5"/>
    <mergeCell ref="S5:V5"/>
    <mergeCell ref="AR5:AR6"/>
    <mergeCell ref="B6:X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AL20" sqref="AL20:AO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60"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93</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1018" t="s">
        <v>204</v>
      </c>
      <c r="AJ7" s="1019"/>
      <c r="AK7" s="1020"/>
      <c r="AL7" s="1009" t="s">
        <v>204</v>
      </c>
      <c r="AM7" s="1010"/>
      <c r="AN7" s="1010"/>
      <c r="AO7" s="1011"/>
      <c r="AP7" s="705" t="s">
        <v>204</v>
      </c>
      <c r="AQ7" s="706"/>
      <c r="AR7" s="66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1021"/>
      <c r="AJ8" s="1022"/>
      <c r="AK8" s="1023"/>
      <c r="AL8" s="1012"/>
      <c r="AM8" s="1013"/>
      <c r="AN8" s="1013"/>
      <c r="AO8" s="1014"/>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1021"/>
      <c r="AJ9" s="1022"/>
      <c r="AK9" s="1023"/>
      <c r="AL9" s="1012"/>
      <c r="AM9" s="1013"/>
      <c r="AN9" s="1013"/>
      <c r="AO9" s="1014"/>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1024"/>
      <c r="AJ10" s="1025"/>
      <c r="AK10" s="1026"/>
      <c r="AL10" s="1015"/>
      <c r="AM10" s="1016"/>
      <c r="AN10" s="1016"/>
      <c r="AO10" s="1017"/>
      <c r="AP10" s="709"/>
      <c r="AQ10" s="710"/>
      <c r="AR10" s="668"/>
    </row>
    <row r="11" spans="2:44" ht="38.25" customHeight="1">
      <c r="B11" s="640" t="s">
        <v>191</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1027">
        <v>2</v>
      </c>
      <c r="AJ11" s="1027"/>
      <c r="AK11" s="1027"/>
      <c r="AL11" s="1027">
        <v>2</v>
      </c>
      <c r="AM11" s="1027"/>
      <c r="AN11" s="1027"/>
      <c r="AO11" s="1027"/>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1027">
        <v>3</v>
      </c>
      <c r="AJ12" s="1027"/>
      <c r="AK12" s="1027"/>
      <c r="AL12" s="1027">
        <v>3</v>
      </c>
      <c r="AM12" s="1027"/>
      <c r="AN12" s="1027"/>
      <c r="AO12" s="1027"/>
      <c r="AP12" s="671">
        <f t="shared" ref="AP12:AP22" si="0">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1027">
        <v>3</v>
      </c>
      <c r="AJ13" s="1027"/>
      <c r="AK13" s="1027"/>
      <c r="AL13" s="1027">
        <v>3</v>
      </c>
      <c r="AM13" s="1027"/>
      <c r="AN13" s="1027"/>
      <c r="AO13" s="1027"/>
      <c r="AP13" s="671">
        <f t="shared" si="0"/>
        <v>1</v>
      </c>
      <c r="AQ13" s="671"/>
      <c r="AR13" s="669"/>
    </row>
    <row r="14" spans="2:44" ht="29.25" customHeight="1">
      <c r="B14" s="632" t="s">
        <v>425</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1027">
        <v>3</v>
      </c>
      <c r="AJ14" s="1027"/>
      <c r="AK14" s="1027"/>
      <c r="AL14" s="1027">
        <v>3</v>
      </c>
      <c r="AM14" s="1027"/>
      <c r="AN14" s="1027"/>
      <c r="AO14" s="1027"/>
      <c r="AP14" s="671">
        <f t="shared" si="0"/>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1028">
        <v>1</v>
      </c>
      <c r="AJ15" s="1028"/>
      <c r="AK15" s="1028"/>
      <c r="AL15" s="1028">
        <v>1</v>
      </c>
      <c r="AM15" s="1028"/>
      <c r="AN15" s="1028"/>
      <c r="AO15" s="1028"/>
      <c r="AP15" s="674">
        <f t="shared" si="0"/>
        <v>1</v>
      </c>
      <c r="AQ15" s="674"/>
      <c r="AR15" s="668">
        <f t="shared" ref="AR15" si="1">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1028">
        <v>1</v>
      </c>
      <c r="AJ16" s="1028"/>
      <c r="AK16" s="1028"/>
      <c r="AL16" s="1028">
        <v>1</v>
      </c>
      <c r="AM16" s="1028"/>
      <c r="AN16" s="1028"/>
      <c r="AO16" s="1028"/>
      <c r="AP16" s="674">
        <f t="shared" si="0"/>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1028">
        <v>1</v>
      </c>
      <c r="AJ17" s="1028"/>
      <c r="AK17" s="1028"/>
      <c r="AL17" s="1028">
        <v>1</v>
      </c>
      <c r="AM17" s="1028"/>
      <c r="AN17" s="1028"/>
      <c r="AO17" s="1028"/>
      <c r="AP17" s="674">
        <f t="shared" si="0"/>
        <v>1</v>
      </c>
      <c r="AQ17" s="674"/>
      <c r="AR17" s="668"/>
    </row>
    <row r="18" spans="2:44" ht="28.5" customHeight="1">
      <c r="B18" s="139" t="s">
        <v>188</v>
      </c>
      <c r="C18" s="607" t="s">
        <v>112</v>
      </c>
      <c r="D18" s="608"/>
      <c r="E18" s="644">
        <v>1</v>
      </c>
      <c r="F18" s="644"/>
      <c r="G18" s="632" t="s">
        <v>377</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1028">
        <v>1</v>
      </c>
      <c r="AJ18" s="1028"/>
      <c r="AK18" s="1028"/>
      <c r="AL18" s="1028">
        <v>1</v>
      </c>
      <c r="AM18" s="1028"/>
      <c r="AN18" s="1028"/>
      <c r="AO18" s="1028"/>
      <c r="AP18" s="674">
        <f t="shared" si="0"/>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1027">
        <v>1</v>
      </c>
      <c r="AJ19" s="1027"/>
      <c r="AK19" s="1027"/>
      <c r="AL19" s="1027">
        <v>1</v>
      </c>
      <c r="AM19" s="1027"/>
      <c r="AN19" s="1027"/>
      <c r="AO19" s="1027"/>
      <c r="AP19" s="671">
        <f t="shared" si="0"/>
        <v>1</v>
      </c>
      <c r="AQ19" s="671"/>
      <c r="AR19" s="669" t="e">
        <f t="shared" ref="AR19" si="2">SUM(AP19:AQ22)/4</f>
        <v>#DIV/0!</v>
      </c>
    </row>
    <row r="20" spans="2:44" ht="45.4" customHeight="1">
      <c r="B20" s="607" t="s">
        <v>426</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1027">
        <v>1</v>
      </c>
      <c r="AJ20" s="1027"/>
      <c r="AK20" s="1027"/>
      <c r="AL20" s="1027">
        <v>1</v>
      </c>
      <c r="AM20" s="1027"/>
      <c r="AN20" s="1027"/>
      <c r="AO20" s="1027"/>
      <c r="AP20" s="671">
        <f t="shared" si="0"/>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1027"/>
      <c r="AJ21" s="1027"/>
      <c r="AK21" s="1027"/>
      <c r="AL21" s="1027"/>
      <c r="AM21" s="1027"/>
      <c r="AN21" s="1027"/>
      <c r="AO21" s="1027"/>
      <c r="AP21" s="671" t="e">
        <f t="shared" si="0"/>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1027"/>
      <c r="AJ22" s="1027"/>
      <c r="AK22" s="1027"/>
      <c r="AL22" s="1027"/>
      <c r="AM22" s="1027"/>
      <c r="AN22" s="1027"/>
      <c r="AO22" s="1027"/>
      <c r="AP22" s="671" t="e">
        <f t="shared" si="0"/>
        <v>#DIV/0!</v>
      </c>
      <c r="AQ22" s="671"/>
      <c r="AR22" s="669"/>
    </row>
    <row r="23" spans="2:44" ht="18.95" customHeight="1">
      <c r="B23" s="633" t="s">
        <v>25</v>
      </c>
      <c r="C23" s="633"/>
      <c r="D23" s="682">
        <f>AL15</f>
        <v>1</v>
      </c>
      <c r="E23" s="683"/>
      <c r="F23" s="684"/>
      <c r="G23" s="685">
        <f>AL16</f>
        <v>1</v>
      </c>
      <c r="H23" s="872"/>
      <c r="I23" s="872"/>
      <c r="J23" s="872"/>
      <c r="K23" s="872"/>
      <c r="L23" s="872"/>
      <c r="M23" s="873"/>
      <c r="N23" s="682">
        <f>AL17</f>
        <v>1</v>
      </c>
      <c r="O23" s="683"/>
      <c r="P23" s="683"/>
      <c r="Q23" s="683"/>
      <c r="R23" s="683"/>
      <c r="S23" s="684"/>
      <c r="T23" s="685">
        <f>AL18</f>
        <v>1</v>
      </c>
      <c r="U23" s="643"/>
      <c r="V23" s="643"/>
      <c r="W23" s="643"/>
      <c r="X23" s="608"/>
      <c r="Z23" s="52"/>
      <c r="AA23" s="52"/>
    </row>
    <row r="24" spans="2:44" ht="18.95" customHeight="1">
      <c r="B24" s="633" t="s">
        <v>26</v>
      </c>
      <c r="C24" s="633"/>
      <c r="D24" s="682">
        <f>AI15</f>
        <v>1</v>
      </c>
      <c r="E24" s="683"/>
      <c r="F24" s="684"/>
      <c r="G24" s="685">
        <f>AI16</f>
        <v>1</v>
      </c>
      <c r="H24" s="643"/>
      <c r="I24" s="643"/>
      <c r="J24" s="643"/>
      <c r="K24" s="643"/>
      <c r="L24" s="643"/>
      <c r="M24" s="608"/>
      <c r="N24" s="682">
        <f>AI17</f>
        <v>1</v>
      </c>
      <c r="O24" s="683"/>
      <c r="P24" s="683"/>
      <c r="Q24" s="683"/>
      <c r="R24" s="683"/>
      <c r="S24" s="684"/>
      <c r="T24" s="685">
        <f>AI18</f>
        <v>1</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4">$E$18</f>
        <v>1</v>
      </c>
      <c r="E30" s="92">
        <f t="shared" si="3"/>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3"/>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3"/>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4"/>
        <v>1</v>
      </c>
      <c r="E33" s="92">
        <f t="shared" si="3"/>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3"/>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3"/>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v>
      </c>
      <c r="D36" s="686">
        <f t="shared" si="4"/>
        <v>1</v>
      </c>
      <c r="E36" s="92">
        <f t="shared" si="3"/>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3"/>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I47:X47"/>
    <mergeCell ref="B48:X48"/>
    <mergeCell ref="G50:H50"/>
    <mergeCell ref="I50:X50"/>
    <mergeCell ref="B42:X42"/>
    <mergeCell ref="B43:X43"/>
    <mergeCell ref="B44:X44"/>
    <mergeCell ref="G45:H45"/>
    <mergeCell ref="I45:J45"/>
    <mergeCell ref="K45:L45"/>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5:X15"/>
    <mergeCell ref="AB15:AC18"/>
    <mergeCell ref="AD15:AH15"/>
    <mergeCell ref="AI15:AK15"/>
    <mergeCell ref="AL15:AO15"/>
    <mergeCell ref="AP15:AQ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7:AR10"/>
    <mergeCell ref="W5:X5"/>
    <mergeCell ref="AB5:AC6"/>
    <mergeCell ref="AD5:AH6"/>
    <mergeCell ref="AI5:AK6"/>
    <mergeCell ref="AL5:AO6"/>
    <mergeCell ref="AP5:AQ6"/>
    <mergeCell ref="AD8:AH8"/>
    <mergeCell ref="B9:X9"/>
    <mergeCell ref="AD9:AH9"/>
    <mergeCell ref="B10:X10"/>
    <mergeCell ref="AD10:AH10"/>
    <mergeCell ref="B1:T1"/>
    <mergeCell ref="U1:X4"/>
    <mergeCell ref="B2:T4"/>
    <mergeCell ref="AB3:AR4"/>
    <mergeCell ref="C5:D5"/>
    <mergeCell ref="E5:G5"/>
    <mergeCell ref="H5:J5"/>
    <mergeCell ref="K5:N5"/>
    <mergeCell ref="O5:R5"/>
    <mergeCell ref="S5:V5"/>
    <mergeCell ref="AR5:AR6"/>
    <mergeCell ref="B6:X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AD20" sqref="AD20:AH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60"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93</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1018" t="s">
        <v>204</v>
      </c>
      <c r="AJ7" s="1019"/>
      <c r="AK7" s="1020"/>
      <c r="AL7" s="1009" t="s">
        <v>204</v>
      </c>
      <c r="AM7" s="1010"/>
      <c r="AN7" s="1010"/>
      <c r="AO7" s="1011"/>
      <c r="AP7" s="705" t="s">
        <v>204</v>
      </c>
      <c r="AQ7" s="706"/>
      <c r="AR7" s="66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1021"/>
      <c r="AJ8" s="1022"/>
      <c r="AK8" s="1023"/>
      <c r="AL8" s="1012"/>
      <c r="AM8" s="1013"/>
      <c r="AN8" s="1013"/>
      <c r="AO8" s="1014"/>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1021"/>
      <c r="AJ9" s="1022"/>
      <c r="AK9" s="1023"/>
      <c r="AL9" s="1012"/>
      <c r="AM9" s="1013"/>
      <c r="AN9" s="1013"/>
      <c r="AO9" s="1014"/>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1024"/>
      <c r="AJ10" s="1025"/>
      <c r="AK10" s="1026"/>
      <c r="AL10" s="1015"/>
      <c r="AM10" s="1016"/>
      <c r="AN10" s="1016"/>
      <c r="AO10" s="1017"/>
      <c r="AP10" s="709"/>
      <c r="AQ10" s="710"/>
      <c r="AR10" s="668"/>
    </row>
    <row r="11" spans="2:44" ht="38.25" customHeight="1">
      <c r="B11" s="640" t="s">
        <v>192</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1027">
        <v>1</v>
      </c>
      <c r="AJ11" s="1027"/>
      <c r="AK11" s="1027"/>
      <c r="AL11" s="1027">
        <v>1</v>
      </c>
      <c r="AM11" s="1027"/>
      <c r="AN11" s="1027"/>
      <c r="AO11" s="1027"/>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1027">
        <v>3</v>
      </c>
      <c r="AJ12" s="1027"/>
      <c r="AK12" s="1027"/>
      <c r="AL12" s="1027">
        <v>3</v>
      </c>
      <c r="AM12" s="1027"/>
      <c r="AN12" s="1027"/>
      <c r="AO12" s="1027"/>
      <c r="AP12" s="671">
        <f t="shared" ref="AP12:AP22" si="0">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1027">
        <v>3</v>
      </c>
      <c r="AJ13" s="1027"/>
      <c r="AK13" s="1027"/>
      <c r="AL13" s="1027">
        <v>3</v>
      </c>
      <c r="AM13" s="1027"/>
      <c r="AN13" s="1027"/>
      <c r="AO13" s="1027"/>
      <c r="AP13" s="671">
        <f t="shared" si="0"/>
        <v>1</v>
      </c>
      <c r="AQ13" s="671"/>
      <c r="AR13" s="669"/>
    </row>
    <row r="14" spans="2:44" ht="29.25" customHeight="1">
      <c r="B14" s="632" t="s">
        <v>427</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1027">
        <v>3</v>
      </c>
      <c r="AJ14" s="1027"/>
      <c r="AK14" s="1027"/>
      <c r="AL14" s="1027">
        <v>3</v>
      </c>
      <c r="AM14" s="1027"/>
      <c r="AN14" s="1027"/>
      <c r="AO14" s="1027"/>
      <c r="AP14" s="671">
        <f t="shared" si="0"/>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1028">
        <v>1</v>
      </c>
      <c r="AJ15" s="1028"/>
      <c r="AK15" s="1028"/>
      <c r="AL15" s="1028">
        <v>1</v>
      </c>
      <c r="AM15" s="1028"/>
      <c r="AN15" s="1028"/>
      <c r="AO15" s="1028"/>
      <c r="AP15" s="674">
        <f t="shared" si="0"/>
        <v>1</v>
      </c>
      <c r="AQ15" s="674"/>
      <c r="AR15" s="668">
        <f t="shared" ref="AR15" si="1">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1028">
        <v>1</v>
      </c>
      <c r="AJ16" s="1028"/>
      <c r="AK16" s="1028"/>
      <c r="AL16" s="1028">
        <v>1</v>
      </c>
      <c r="AM16" s="1028"/>
      <c r="AN16" s="1028"/>
      <c r="AO16" s="1028"/>
      <c r="AP16" s="674">
        <f t="shared" si="0"/>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1028">
        <v>1</v>
      </c>
      <c r="AJ17" s="1028"/>
      <c r="AK17" s="1028"/>
      <c r="AL17" s="1028">
        <v>1</v>
      </c>
      <c r="AM17" s="1028"/>
      <c r="AN17" s="1028"/>
      <c r="AO17" s="1028"/>
      <c r="AP17" s="674">
        <f t="shared" si="0"/>
        <v>1</v>
      </c>
      <c r="AQ17" s="674"/>
      <c r="AR17" s="668"/>
    </row>
    <row r="18" spans="2:44" ht="28.5" customHeight="1">
      <c r="B18" s="139" t="s">
        <v>188</v>
      </c>
      <c r="C18" s="607" t="s">
        <v>112</v>
      </c>
      <c r="D18" s="608"/>
      <c r="E18" s="644">
        <v>1</v>
      </c>
      <c r="F18" s="644"/>
      <c r="G18" s="632" t="s">
        <v>377</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1028">
        <v>1</v>
      </c>
      <c r="AJ18" s="1028"/>
      <c r="AK18" s="1028"/>
      <c r="AL18" s="1028">
        <v>1</v>
      </c>
      <c r="AM18" s="1028"/>
      <c r="AN18" s="1028"/>
      <c r="AO18" s="1028"/>
      <c r="AP18" s="674">
        <f t="shared" ref="AP18" si="2">AL18/AI18</f>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1027">
        <v>1</v>
      </c>
      <c r="AJ19" s="1027"/>
      <c r="AK19" s="1027"/>
      <c r="AL19" s="1027">
        <v>1</v>
      </c>
      <c r="AM19" s="1027"/>
      <c r="AN19" s="1027"/>
      <c r="AO19" s="1027"/>
      <c r="AP19" s="671">
        <f t="shared" si="0"/>
        <v>1</v>
      </c>
      <c r="AQ19" s="671"/>
      <c r="AR19" s="669" t="e">
        <f t="shared" ref="AR19" si="3">SUM(AP19:AQ22)/4</f>
        <v>#DIV/0!</v>
      </c>
    </row>
    <row r="20" spans="2:44" ht="45.4" customHeight="1">
      <c r="B20" s="607" t="s">
        <v>428</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1027">
        <v>1</v>
      </c>
      <c r="AJ20" s="1027"/>
      <c r="AK20" s="1027"/>
      <c r="AL20" s="1027">
        <v>1</v>
      </c>
      <c r="AM20" s="1027"/>
      <c r="AN20" s="1027"/>
      <c r="AO20" s="1027"/>
      <c r="AP20" s="671">
        <f t="shared" si="0"/>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1027"/>
      <c r="AJ21" s="1027"/>
      <c r="AK21" s="1027"/>
      <c r="AL21" s="1027"/>
      <c r="AM21" s="1027"/>
      <c r="AN21" s="1027"/>
      <c r="AO21" s="1027"/>
      <c r="AP21" s="671" t="e">
        <f t="shared" si="0"/>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1027"/>
      <c r="AJ22" s="1027"/>
      <c r="AK22" s="1027"/>
      <c r="AL22" s="1027"/>
      <c r="AM22" s="1027"/>
      <c r="AN22" s="1027"/>
      <c r="AO22" s="1027"/>
      <c r="AP22" s="671" t="e">
        <f t="shared" si="0"/>
        <v>#DIV/0!</v>
      </c>
      <c r="AQ22" s="671"/>
      <c r="AR22" s="669"/>
    </row>
    <row r="23" spans="2:44" ht="18.95" customHeight="1">
      <c r="B23" s="633" t="s">
        <v>25</v>
      </c>
      <c r="C23" s="633"/>
      <c r="D23" s="682">
        <f>AL15</f>
        <v>1</v>
      </c>
      <c r="E23" s="683"/>
      <c r="F23" s="684"/>
      <c r="G23" s="685">
        <f>AL16</f>
        <v>1</v>
      </c>
      <c r="H23" s="872"/>
      <c r="I23" s="872"/>
      <c r="J23" s="872"/>
      <c r="K23" s="872"/>
      <c r="L23" s="872"/>
      <c r="M23" s="873"/>
      <c r="N23" s="682">
        <f>AL17</f>
        <v>1</v>
      </c>
      <c r="O23" s="683"/>
      <c r="P23" s="683"/>
      <c r="Q23" s="683"/>
      <c r="R23" s="683"/>
      <c r="S23" s="684"/>
      <c r="T23" s="685">
        <f>AL18</f>
        <v>1</v>
      </c>
      <c r="U23" s="643"/>
      <c r="V23" s="643"/>
      <c r="W23" s="643"/>
      <c r="X23" s="608"/>
      <c r="Z23" s="52"/>
      <c r="AA23" s="52"/>
    </row>
    <row r="24" spans="2:44" ht="18.95" customHeight="1">
      <c r="B24" s="633" t="s">
        <v>26</v>
      </c>
      <c r="C24" s="633"/>
      <c r="D24" s="682">
        <f>AI15</f>
        <v>1</v>
      </c>
      <c r="E24" s="683"/>
      <c r="F24" s="684"/>
      <c r="G24" s="685">
        <f>AI16</f>
        <v>1</v>
      </c>
      <c r="H24" s="643"/>
      <c r="I24" s="643"/>
      <c r="J24" s="643"/>
      <c r="K24" s="643"/>
      <c r="L24" s="643"/>
      <c r="M24" s="608"/>
      <c r="N24" s="682">
        <f>AI17</f>
        <v>1</v>
      </c>
      <c r="O24" s="683"/>
      <c r="P24" s="683"/>
      <c r="Q24" s="683"/>
      <c r="R24" s="683"/>
      <c r="S24" s="684"/>
      <c r="T24" s="685">
        <f>AI18</f>
        <v>1</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4">$O$14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4"/>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5">$E$18</f>
        <v>1</v>
      </c>
      <c r="E30" s="92">
        <f t="shared" si="4"/>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4"/>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4"/>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5"/>
        <v>1</v>
      </c>
      <c r="E33" s="92">
        <f t="shared" si="4"/>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4"/>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4"/>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v>
      </c>
      <c r="D36" s="686">
        <f t="shared" si="5"/>
        <v>1</v>
      </c>
      <c r="E36" s="92">
        <f t="shared" si="4"/>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4"/>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I47:X47"/>
    <mergeCell ref="B48:X48"/>
    <mergeCell ref="G50:H50"/>
    <mergeCell ref="I50:X50"/>
    <mergeCell ref="B42:X42"/>
    <mergeCell ref="B43:X43"/>
    <mergeCell ref="B44:X44"/>
    <mergeCell ref="G45:H45"/>
    <mergeCell ref="I45:J45"/>
    <mergeCell ref="K45:L45"/>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5:X15"/>
    <mergeCell ref="AB15:AC18"/>
    <mergeCell ref="AD15:AH15"/>
    <mergeCell ref="AI15:AK15"/>
    <mergeCell ref="AL15:AO15"/>
    <mergeCell ref="AP15:AQ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7:AR10"/>
    <mergeCell ref="W5:X5"/>
    <mergeCell ref="AB5:AC6"/>
    <mergeCell ref="AD5:AH6"/>
    <mergeCell ref="AI5:AK6"/>
    <mergeCell ref="AL5:AO6"/>
    <mergeCell ref="AP5:AQ6"/>
    <mergeCell ref="AD8:AH8"/>
    <mergeCell ref="B9:X9"/>
    <mergeCell ref="AD9:AH9"/>
    <mergeCell ref="B10:X10"/>
    <mergeCell ref="AD10:AH10"/>
    <mergeCell ref="B1:T1"/>
    <mergeCell ref="U1:X4"/>
    <mergeCell ref="B2:T4"/>
    <mergeCell ref="AB3:AR4"/>
    <mergeCell ref="C5:D5"/>
    <mergeCell ref="E5:G5"/>
    <mergeCell ref="H5:J5"/>
    <mergeCell ref="K5:N5"/>
    <mergeCell ref="O5:R5"/>
    <mergeCell ref="S5:V5"/>
    <mergeCell ref="AR5:AR6"/>
    <mergeCell ref="B6:X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topLeftCell="C1" zoomScale="80" zoomScaleNormal="80" zoomScaleSheetLayoutView="100" workbookViewId="0">
      <selection activeCell="AL20" sqref="AL20:AO20"/>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569" t="s">
        <v>72</v>
      </c>
      <c r="C1" s="570"/>
      <c r="D1" s="570"/>
      <c r="E1" s="570"/>
      <c r="F1" s="570"/>
      <c r="G1" s="570"/>
      <c r="H1" s="570"/>
      <c r="I1" s="570"/>
      <c r="J1" s="570"/>
      <c r="K1" s="570"/>
      <c r="L1" s="570"/>
      <c r="M1" s="570"/>
      <c r="N1" s="570"/>
      <c r="O1" s="570"/>
      <c r="P1" s="570"/>
      <c r="Q1" s="570"/>
      <c r="R1" s="570"/>
      <c r="S1" s="570"/>
      <c r="T1" s="571"/>
      <c r="U1" s="581"/>
      <c r="V1" s="582"/>
      <c r="W1" s="582"/>
      <c r="X1" s="583"/>
      <c r="AB1" s="667" t="s">
        <v>447</v>
      </c>
      <c r="AC1" s="667"/>
      <c r="AD1" s="667"/>
      <c r="AE1" s="667"/>
      <c r="AF1" s="667"/>
      <c r="AG1" s="667"/>
      <c r="AH1" s="667"/>
      <c r="AI1" s="667"/>
      <c r="AJ1" s="667"/>
      <c r="AK1" s="667"/>
      <c r="AL1" s="667"/>
      <c r="AM1" s="667"/>
      <c r="AN1" s="667"/>
      <c r="AO1" s="667"/>
      <c r="AP1" s="667"/>
      <c r="AQ1" s="667"/>
      <c r="AR1" s="667"/>
    </row>
    <row r="2" spans="2:44" ht="13.5" customHeight="1">
      <c r="B2" s="572" t="s">
        <v>75</v>
      </c>
      <c r="C2" s="573"/>
      <c r="D2" s="573"/>
      <c r="E2" s="573"/>
      <c r="F2" s="573"/>
      <c r="G2" s="573"/>
      <c r="H2" s="573"/>
      <c r="I2" s="573"/>
      <c r="J2" s="573"/>
      <c r="K2" s="573"/>
      <c r="L2" s="573"/>
      <c r="M2" s="573"/>
      <c r="N2" s="573"/>
      <c r="O2" s="573"/>
      <c r="P2" s="573"/>
      <c r="Q2" s="573"/>
      <c r="R2" s="573"/>
      <c r="S2" s="573"/>
      <c r="T2" s="574"/>
      <c r="U2" s="584"/>
      <c r="V2" s="585"/>
      <c r="W2" s="585"/>
      <c r="X2" s="586"/>
    </row>
    <row r="3" spans="2:44" ht="13.5" customHeight="1">
      <c r="B3" s="575"/>
      <c r="C3" s="576"/>
      <c r="D3" s="576"/>
      <c r="E3" s="576"/>
      <c r="F3" s="576"/>
      <c r="G3" s="576"/>
      <c r="H3" s="576"/>
      <c r="I3" s="576"/>
      <c r="J3" s="576"/>
      <c r="K3" s="576"/>
      <c r="L3" s="576"/>
      <c r="M3" s="576"/>
      <c r="N3" s="576"/>
      <c r="O3" s="576"/>
      <c r="P3" s="576"/>
      <c r="Q3" s="576"/>
      <c r="R3" s="576"/>
      <c r="S3" s="576"/>
      <c r="T3" s="577"/>
      <c r="U3" s="584"/>
      <c r="V3" s="585"/>
      <c r="W3" s="585"/>
      <c r="X3" s="586"/>
      <c r="AB3" s="676" t="s">
        <v>194</v>
      </c>
      <c r="AC3" s="676"/>
      <c r="AD3" s="676"/>
      <c r="AE3" s="676"/>
      <c r="AF3" s="676"/>
      <c r="AG3" s="676"/>
      <c r="AH3" s="676"/>
      <c r="AI3" s="676"/>
      <c r="AJ3" s="676"/>
      <c r="AK3" s="676"/>
      <c r="AL3" s="676"/>
      <c r="AM3" s="676"/>
      <c r="AN3" s="676"/>
      <c r="AO3" s="676"/>
      <c r="AP3" s="676"/>
      <c r="AQ3" s="676"/>
      <c r="AR3" s="676"/>
    </row>
    <row r="4" spans="2:44" ht="13.5" customHeight="1">
      <c r="B4" s="578"/>
      <c r="C4" s="579"/>
      <c r="D4" s="579"/>
      <c r="E4" s="579"/>
      <c r="F4" s="579"/>
      <c r="G4" s="579"/>
      <c r="H4" s="579"/>
      <c r="I4" s="579"/>
      <c r="J4" s="579"/>
      <c r="K4" s="579"/>
      <c r="L4" s="579"/>
      <c r="M4" s="579"/>
      <c r="N4" s="579"/>
      <c r="O4" s="579"/>
      <c r="P4" s="579"/>
      <c r="Q4" s="579"/>
      <c r="R4" s="579"/>
      <c r="S4" s="579"/>
      <c r="T4" s="580"/>
      <c r="U4" s="587"/>
      <c r="V4" s="588"/>
      <c r="W4" s="588"/>
      <c r="X4" s="589"/>
      <c r="AB4" s="676"/>
      <c r="AC4" s="676"/>
      <c r="AD4" s="676"/>
      <c r="AE4" s="676"/>
      <c r="AF4" s="676"/>
      <c r="AG4" s="676"/>
      <c r="AH4" s="676"/>
      <c r="AI4" s="676"/>
      <c r="AJ4" s="676"/>
      <c r="AK4" s="676"/>
      <c r="AL4" s="676"/>
      <c r="AM4" s="676"/>
      <c r="AN4" s="676"/>
      <c r="AO4" s="676"/>
      <c r="AP4" s="676"/>
      <c r="AQ4" s="676"/>
      <c r="AR4" s="676"/>
    </row>
    <row r="5" spans="2:44" s="41" customFormat="1" ht="14.25" customHeight="1">
      <c r="B5" s="60" t="s">
        <v>0</v>
      </c>
      <c r="C5" s="561" t="s">
        <v>126</v>
      </c>
      <c r="D5" s="561"/>
      <c r="E5" s="562" t="s">
        <v>1</v>
      </c>
      <c r="F5" s="562"/>
      <c r="G5" s="562"/>
      <c r="H5" s="563" t="s">
        <v>118</v>
      </c>
      <c r="I5" s="563"/>
      <c r="J5" s="563"/>
      <c r="K5" s="562" t="s">
        <v>2</v>
      </c>
      <c r="L5" s="562"/>
      <c r="M5" s="562"/>
      <c r="N5" s="562"/>
      <c r="O5" s="561" t="s">
        <v>119</v>
      </c>
      <c r="P5" s="561"/>
      <c r="Q5" s="561"/>
      <c r="R5" s="561"/>
      <c r="S5" s="564" t="s">
        <v>3</v>
      </c>
      <c r="T5" s="565"/>
      <c r="U5" s="565"/>
      <c r="V5" s="566"/>
      <c r="W5" s="567" t="s">
        <v>120</v>
      </c>
      <c r="X5" s="568"/>
      <c r="Y5" s="47"/>
      <c r="Z5" s="48"/>
      <c r="AA5" s="48"/>
      <c r="AB5" s="675" t="s">
        <v>143</v>
      </c>
      <c r="AC5" s="675"/>
      <c r="AD5" s="675" t="s">
        <v>144</v>
      </c>
      <c r="AE5" s="675"/>
      <c r="AF5" s="675"/>
      <c r="AG5" s="675"/>
      <c r="AH5" s="675"/>
      <c r="AI5" s="675" t="s">
        <v>145</v>
      </c>
      <c r="AJ5" s="675"/>
      <c r="AK5" s="675"/>
      <c r="AL5" s="675" t="s">
        <v>146</v>
      </c>
      <c r="AM5" s="675"/>
      <c r="AN5" s="675"/>
      <c r="AO5" s="675"/>
      <c r="AP5" s="676" t="s">
        <v>149</v>
      </c>
      <c r="AQ5" s="676"/>
      <c r="AR5" s="678" t="s">
        <v>150</v>
      </c>
    </row>
    <row r="6" spans="2:44" ht="9" customHeight="1">
      <c r="B6" s="634"/>
      <c r="C6" s="634"/>
      <c r="D6" s="634"/>
      <c r="E6" s="634"/>
      <c r="F6" s="634"/>
      <c r="G6" s="634"/>
      <c r="H6" s="634"/>
      <c r="I6" s="634"/>
      <c r="J6" s="634"/>
      <c r="K6" s="634"/>
      <c r="L6" s="634"/>
      <c r="M6" s="634"/>
      <c r="N6" s="634"/>
      <c r="O6" s="634"/>
      <c r="P6" s="634"/>
      <c r="Q6" s="634"/>
      <c r="R6" s="634"/>
      <c r="S6" s="634"/>
      <c r="T6" s="634"/>
      <c r="U6" s="634"/>
      <c r="V6" s="634"/>
      <c r="W6" s="634"/>
      <c r="X6" s="634"/>
      <c r="AB6" s="675"/>
      <c r="AC6" s="675"/>
      <c r="AD6" s="675"/>
      <c r="AE6" s="675"/>
      <c r="AF6" s="675"/>
      <c r="AG6" s="675"/>
      <c r="AH6" s="675"/>
      <c r="AI6" s="675"/>
      <c r="AJ6" s="675"/>
      <c r="AK6" s="675"/>
      <c r="AL6" s="675"/>
      <c r="AM6" s="675"/>
      <c r="AN6" s="675"/>
      <c r="AO6" s="675"/>
      <c r="AP6" s="676"/>
      <c r="AQ6" s="676"/>
      <c r="AR6" s="678"/>
    </row>
    <row r="7" spans="2:44" ht="14.25" customHeight="1">
      <c r="B7" s="645" t="s">
        <v>76</v>
      </c>
      <c r="C7" s="646"/>
      <c r="D7" s="646"/>
      <c r="E7" s="646"/>
      <c r="F7" s="647"/>
      <c r="G7" s="651" t="s">
        <v>93</v>
      </c>
      <c r="H7" s="652"/>
      <c r="I7" s="652"/>
      <c r="J7" s="652"/>
      <c r="K7" s="652"/>
      <c r="L7" s="652"/>
      <c r="M7" s="652"/>
      <c r="N7" s="652"/>
      <c r="O7" s="652"/>
      <c r="P7" s="652"/>
      <c r="Q7" s="652"/>
      <c r="R7" s="652"/>
      <c r="S7" s="652"/>
      <c r="T7" s="652"/>
      <c r="U7" s="652"/>
      <c r="V7" s="652"/>
      <c r="W7" s="652"/>
      <c r="X7" s="653"/>
      <c r="AB7" s="677">
        <v>2019</v>
      </c>
      <c r="AC7" s="677"/>
      <c r="AD7" s="680" t="s">
        <v>127</v>
      </c>
      <c r="AE7" s="680"/>
      <c r="AF7" s="680"/>
      <c r="AG7" s="680"/>
      <c r="AH7" s="680"/>
      <c r="AI7" s="1018" t="s">
        <v>204</v>
      </c>
      <c r="AJ7" s="1019"/>
      <c r="AK7" s="1020"/>
      <c r="AL7" s="1009" t="s">
        <v>204</v>
      </c>
      <c r="AM7" s="1010"/>
      <c r="AN7" s="1010"/>
      <c r="AO7" s="1011"/>
      <c r="AP7" s="705" t="s">
        <v>204</v>
      </c>
      <c r="AQ7" s="706"/>
      <c r="AR7" s="668" t="s">
        <v>204</v>
      </c>
    </row>
    <row r="8" spans="2:44" ht="14.25" customHeight="1">
      <c r="B8" s="648"/>
      <c r="C8" s="649"/>
      <c r="D8" s="649"/>
      <c r="E8" s="649"/>
      <c r="F8" s="650"/>
      <c r="G8" s="654"/>
      <c r="H8" s="655"/>
      <c r="I8" s="655"/>
      <c r="J8" s="655"/>
      <c r="K8" s="655"/>
      <c r="L8" s="655"/>
      <c r="M8" s="655"/>
      <c r="N8" s="655"/>
      <c r="O8" s="655"/>
      <c r="P8" s="655"/>
      <c r="Q8" s="655"/>
      <c r="R8" s="655"/>
      <c r="S8" s="655"/>
      <c r="T8" s="655"/>
      <c r="U8" s="655"/>
      <c r="V8" s="655"/>
      <c r="W8" s="655"/>
      <c r="X8" s="656"/>
      <c r="AB8" s="677"/>
      <c r="AC8" s="677"/>
      <c r="AD8" s="680" t="s">
        <v>128</v>
      </c>
      <c r="AE8" s="680"/>
      <c r="AF8" s="680"/>
      <c r="AG8" s="680"/>
      <c r="AH8" s="680"/>
      <c r="AI8" s="1021"/>
      <c r="AJ8" s="1022"/>
      <c r="AK8" s="1023"/>
      <c r="AL8" s="1012"/>
      <c r="AM8" s="1013"/>
      <c r="AN8" s="1013"/>
      <c r="AO8" s="1014"/>
      <c r="AP8" s="707"/>
      <c r="AQ8" s="708"/>
      <c r="AR8" s="668"/>
    </row>
    <row r="9" spans="2:44" ht="19.149999999999999" customHeight="1">
      <c r="B9" s="598" t="s">
        <v>49</v>
      </c>
      <c r="C9" s="599"/>
      <c r="D9" s="599"/>
      <c r="E9" s="599"/>
      <c r="F9" s="599"/>
      <c r="G9" s="599"/>
      <c r="H9" s="599"/>
      <c r="I9" s="599"/>
      <c r="J9" s="599"/>
      <c r="K9" s="599"/>
      <c r="L9" s="599"/>
      <c r="M9" s="599"/>
      <c r="N9" s="599"/>
      <c r="O9" s="599"/>
      <c r="P9" s="599"/>
      <c r="Q9" s="599"/>
      <c r="R9" s="599"/>
      <c r="S9" s="599"/>
      <c r="T9" s="599"/>
      <c r="U9" s="599"/>
      <c r="V9" s="599"/>
      <c r="W9" s="599"/>
      <c r="X9" s="600"/>
      <c r="AB9" s="677"/>
      <c r="AC9" s="677"/>
      <c r="AD9" s="680" t="s">
        <v>129</v>
      </c>
      <c r="AE9" s="680"/>
      <c r="AF9" s="680"/>
      <c r="AG9" s="680"/>
      <c r="AH9" s="680"/>
      <c r="AI9" s="1021"/>
      <c r="AJ9" s="1022"/>
      <c r="AK9" s="1023"/>
      <c r="AL9" s="1012"/>
      <c r="AM9" s="1013"/>
      <c r="AN9" s="1013"/>
      <c r="AO9" s="1014"/>
      <c r="AP9" s="707"/>
      <c r="AQ9" s="708"/>
      <c r="AR9" s="668"/>
    </row>
    <row r="10" spans="2:44" ht="15" customHeight="1">
      <c r="B10" s="638" t="s">
        <v>4</v>
      </c>
      <c r="C10" s="639"/>
      <c r="D10" s="639"/>
      <c r="E10" s="639"/>
      <c r="F10" s="639"/>
      <c r="G10" s="639"/>
      <c r="H10" s="639"/>
      <c r="I10" s="639"/>
      <c r="J10" s="639"/>
      <c r="K10" s="639"/>
      <c r="L10" s="639"/>
      <c r="M10" s="639"/>
      <c r="N10" s="639"/>
      <c r="O10" s="639"/>
      <c r="P10" s="639"/>
      <c r="Q10" s="639"/>
      <c r="R10" s="639"/>
      <c r="S10" s="639"/>
      <c r="T10" s="639"/>
      <c r="U10" s="639"/>
      <c r="V10" s="639"/>
      <c r="W10" s="639"/>
      <c r="X10" s="639"/>
      <c r="AB10" s="677"/>
      <c r="AC10" s="677"/>
      <c r="AD10" s="680" t="s">
        <v>130</v>
      </c>
      <c r="AE10" s="680"/>
      <c r="AF10" s="680"/>
      <c r="AG10" s="680"/>
      <c r="AH10" s="680"/>
      <c r="AI10" s="1024"/>
      <c r="AJ10" s="1025"/>
      <c r="AK10" s="1026"/>
      <c r="AL10" s="1015"/>
      <c r="AM10" s="1016"/>
      <c r="AN10" s="1016"/>
      <c r="AO10" s="1017"/>
      <c r="AP10" s="709"/>
      <c r="AQ10" s="710"/>
      <c r="AR10" s="668"/>
    </row>
    <row r="11" spans="2:44" ht="38.25" customHeight="1">
      <c r="B11" s="640" t="s">
        <v>193</v>
      </c>
      <c r="C11" s="640"/>
      <c r="D11" s="640"/>
      <c r="E11" s="640"/>
      <c r="F11" s="640"/>
      <c r="G11" s="640"/>
      <c r="H11" s="640"/>
      <c r="I11" s="640"/>
      <c r="J11" s="640"/>
      <c r="K11" s="640"/>
      <c r="L11" s="640"/>
      <c r="M11" s="640"/>
      <c r="N11" s="640"/>
      <c r="O11" s="640"/>
      <c r="P11" s="640"/>
      <c r="Q11" s="640"/>
      <c r="R11" s="640"/>
      <c r="S11" s="640"/>
      <c r="T11" s="640"/>
      <c r="U11" s="640"/>
      <c r="V11" s="640"/>
      <c r="W11" s="640"/>
      <c r="X11" s="640"/>
      <c r="AB11" s="679">
        <v>2020</v>
      </c>
      <c r="AC11" s="679"/>
      <c r="AD11" s="681" t="s">
        <v>131</v>
      </c>
      <c r="AE11" s="681"/>
      <c r="AF11" s="681"/>
      <c r="AG11" s="681"/>
      <c r="AH11" s="681"/>
      <c r="AI11" s="1027">
        <v>2</v>
      </c>
      <c r="AJ11" s="1027"/>
      <c r="AK11" s="1027"/>
      <c r="AL11" s="1027">
        <v>2</v>
      </c>
      <c r="AM11" s="1027"/>
      <c r="AN11" s="1027"/>
      <c r="AO11" s="1027"/>
      <c r="AP11" s="671">
        <f>AL11/AI11</f>
        <v>1</v>
      </c>
      <c r="AQ11" s="671"/>
      <c r="AR11" s="669">
        <f>SUM(AP11:AQ14)/4</f>
        <v>1</v>
      </c>
    </row>
    <row r="12" spans="2:44" ht="12.75">
      <c r="B12" s="657" t="s">
        <v>56</v>
      </c>
      <c r="C12" s="658"/>
      <c r="D12" s="658"/>
      <c r="E12" s="658"/>
      <c r="F12" s="659"/>
      <c r="G12" s="657" t="s">
        <v>48</v>
      </c>
      <c r="H12" s="658"/>
      <c r="I12" s="658"/>
      <c r="J12" s="659"/>
      <c r="K12" s="657" t="s">
        <v>5</v>
      </c>
      <c r="L12" s="658"/>
      <c r="M12" s="658"/>
      <c r="N12" s="659"/>
      <c r="O12" s="638" t="s">
        <v>6</v>
      </c>
      <c r="P12" s="639"/>
      <c r="Q12" s="639"/>
      <c r="R12" s="639"/>
      <c r="S12" s="639"/>
      <c r="T12" s="639"/>
      <c r="U12" s="639"/>
      <c r="V12" s="639"/>
      <c r="W12" s="639"/>
      <c r="X12" s="642"/>
      <c r="Y12" s="49"/>
      <c r="Z12" s="50"/>
      <c r="AA12" s="50"/>
      <c r="AB12" s="679"/>
      <c r="AC12" s="679"/>
      <c r="AD12" s="681" t="s">
        <v>132</v>
      </c>
      <c r="AE12" s="681"/>
      <c r="AF12" s="681"/>
      <c r="AG12" s="681"/>
      <c r="AH12" s="681"/>
      <c r="AI12" s="1027">
        <v>2</v>
      </c>
      <c r="AJ12" s="1027"/>
      <c r="AK12" s="1027"/>
      <c r="AL12" s="1027">
        <v>2</v>
      </c>
      <c r="AM12" s="1027"/>
      <c r="AN12" s="1027"/>
      <c r="AO12" s="1027"/>
      <c r="AP12" s="671">
        <f t="shared" ref="AP12:AP22" si="0">AL12/AI12</f>
        <v>1</v>
      </c>
      <c r="AQ12" s="671"/>
      <c r="AR12" s="669"/>
    </row>
    <row r="13" spans="2:44" ht="25.5" customHeight="1">
      <c r="B13" s="660"/>
      <c r="C13" s="661"/>
      <c r="D13" s="661"/>
      <c r="E13" s="661"/>
      <c r="F13" s="662"/>
      <c r="G13" s="660"/>
      <c r="H13" s="661"/>
      <c r="I13" s="661"/>
      <c r="J13" s="662"/>
      <c r="K13" s="660"/>
      <c r="L13" s="661"/>
      <c r="M13" s="661"/>
      <c r="N13" s="662"/>
      <c r="O13" s="638" t="s">
        <v>55</v>
      </c>
      <c r="P13" s="639"/>
      <c r="Q13" s="639"/>
      <c r="R13" s="642"/>
      <c r="S13" s="638" t="s">
        <v>54</v>
      </c>
      <c r="T13" s="639"/>
      <c r="U13" s="642"/>
      <c r="V13" s="638" t="s">
        <v>53</v>
      </c>
      <c r="W13" s="639"/>
      <c r="X13" s="642"/>
      <c r="Y13" s="49"/>
      <c r="Z13" s="50"/>
      <c r="AA13" s="50"/>
      <c r="AB13" s="679"/>
      <c r="AC13" s="679"/>
      <c r="AD13" s="681" t="s">
        <v>133</v>
      </c>
      <c r="AE13" s="681"/>
      <c r="AF13" s="681"/>
      <c r="AG13" s="681"/>
      <c r="AH13" s="681"/>
      <c r="AI13" s="1027">
        <v>2</v>
      </c>
      <c r="AJ13" s="1027"/>
      <c r="AK13" s="1027"/>
      <c r="AL13" s="1027">
        <v>2</v>
      </c>
      <c r="AM13" s="1027"/>
      <c r="AN13" s="1027"/>
      <c r="AO13" s="1027"/>
      <c r="AP13" s="671">
        <f t="shared" si="0"/>
        <v>1</v>
      </c>
      <c r="AQ13" s="671"/>
      <c r="AR13" s="669"/>
    </row>
    <row r="14" spans="2:44" ht="29.25" customHeight="1">
      <c r="B14" s="632" t="s">
        <v>430</v>
      </c>
      <c r="C14" s="632"/>
      <c r="D14" s="632"/>
      <c r="E14" s="632"/>
      <c r="F14" s="632"/>
      <c r="G14" s="644" t="s">
        <v>101</v>
      </c>
      <c r="H14" s="644"/>
      <c r="I14" s="644"/>
      <c r="J14" s="644"/>
      <c r="K14" s="644">
        <v>1</v>
      </c>
      <c r="L14" s="644"/>
      <c r="M14" s="644"/>
      <c r="N14" s="644"/>
      <c r="O14" s="635">
        <v>1</v>
      </c>
      <c r="P14" s="636"/>
      <c r="Q14" s="636"/>
      <c r="R14" s="637"/>
      <c r="S14" s="591">
        <v>44561</v>
      </c>
      <c r="T14" s="592"/>
      <c r="U14" s="593"/>
      <c r="V14" s="594">
        <v>2021</v>
      </c>
      <c r="W14" s="594"/>
      <c r="X14" s="594"/>
      <c r="AB14" s="679"/>
      <c r="AC14" s="679"/>
      <c r="AD14" s="681" t="s">
        <v>134</v>
      </c>
      <c r="AE14" s="681"/>
      <c r="AF14" s="681"/>
      <c r="AG14" s="681"/>
      <c r="AH14" s="681"/>
      <c r="AI14" s="1027">
        <v>2</v>
      </c>
      <c r="AJ14" s="1027"/>
      <c r="AK14" s="1027"/>
      <c r="AL14" s="1027">
        <v>2</v>
      </c>
      <c r="AM14" s="1027"/>
      <c r="AN14" s="1027"/>
      <c r="AO14" s="1027"/>
      <c r="AP14" s="671">
        <f t="shared" si="0"/>
        <v>1</v>
      </c>
      <c r="AQ14" s="671"/>
      <c r="AR14" s="669"/>
    </row>
    <row r="15" spans="2:44" ht="18" customHeight="1">
      <c r="B15" s="598" t="s">
        <v>7</v>
      </c>
      <c r="C15" s="599"/>
      <c r="D15" s="599"/>
      <c r="E15" s="599"/>
      <c r="F15" s="599"/>
      <c r="G15" s="599"/>
      <c r="H15" s="599"/>
      <c r="I15" s="599"/>
      <c r="J15" s="599"/>
      <c r="K15" s="599"/>
      <c r="L15" s="599"/>
      <c r="M15" s="599"/>
      <c r="N15" s="599"/>
      <c r="O15" s="599"/>
      <c r="P15" s="599"/>
      <c r="Q15" s="599"/>
      <c r="R15" s="599"/>
      <c r="S15" s="599"/>
      <c r="T15" s="599"/>
      <c r="U15" s="599"/>
      <c r="V15" s="599"/>
      <c r="W15" s="599"/>
      <c r="X15" s="600"/>
      <c r="Z15" s="46" t="s">
        <v>51</v>
      </c>
      <c r="AB15" s="677">
        <v>2021</v>
      </c>
      <c r="AC15" s="677"/>
      <c r="AD15" s="680" t="s">
        <v>135</v>
      </c>
      <c r="AE15" s="680"/>
      <c r="AF15" s="680"/>
      <c r="AG15" s="680"/>
      <c r="AH15" s="680"/>
      <c r="AI15" s="1028">
        <v>3</v>
      </c>
      <c r="AJ15" s="1028"/>
      <c r="AK15" s="1028"/>
      <c r="AL15" s="1028">
        <v>3</v>
      </c>
      <c r="AM15" s="1028"/>
      <c r="AN15" s="1028"/>
      <c r="AO15" s="1028"/>
      <c r="AP15" s="674">
        <f t="shared" si="0"/>
        <v>1</v>
      </c>
      <c r="AQ15" s="674"/>
      <c r="AR15" s="668">
        <f t="shared" ref="AR15" si="1">SUM(AP15:AQ18)/4</f>
        <v>1</v>
      </c>
    </row>
    <row r="16" spans="2:44" ht="12.75" customHeight="1">
      <c r="B16" s="663" t="s">
        <v>52</v>
      </c>
      <c r="C16" s="657" t="s">
        <v>8</v>
      </c>
      <c r="D16" s="659"/>
      <c r="E16" s="657" t="s">
        <v>115</v>
      </c>
      <c r="F16" s="659"/>
      <c r="G16" s="657" t="s">
        <v>109</v>
      </c>
      <c r="H16" s="658"/>
      <c r="I16" s="658"/>
      <c r="J16" s="658"/>
      <c r="K16" s="658"/>
      <c r="L16" s="659"/>
      <c r="M16" s="666" t="s">
        <v>116</v>
      </c>
      <c r="N16" s="666"/>
      <c r="O16" s="666"/>
      <c r="P16" s="666"/>
      <c r="Q16" s="666"/>
      <c r="R16" s="666"/>
      <c r="S16" s="666"/>
      <c r="T16" s="666"/>
      <c r="U16" s="666"/>
      <c r="V16" s="666"/>
      <c r="W16" s="666"/>
      <c r="X16" s="666"/>
      <c r="AB16" s="677"/>
      <c r="AC16" s="677"/>
      <c r="AD16" s="680" t="s">
        <v>136</v>
      </c>
      <c r="AE16" s="680"/>
      <c r="AF16" s="680"/>
      <c r="AG16" s="680"/>
      <c r="AH16" s="680"/>
      <c r="AI16" s="1028">
        <v>3</v>
      </c>
      <c r="AJ16" s="1028"/>
      <c r="AK16" s="1028"/>
      <c r="AL16" s="1028">
        <v>3</v>
      </c>
      <c r="AM16" s="1028"/>
      <c r="AN16" s="1028"/>
      <c r="AO16" s="1028"/>
      <c r="AP16" s="674">
        <f t="shared" si="0"/>
        <v>1</v>
      </c>
      <c r="AQ16" s="674"/>
      <c r="AR16" s="668"/>
    </row>
    <row r="17" spans="2:44" ht="12.75" customHeight="1">
      <c r="B17" s="664"/>
      <c r="C17" s="660"/>
      <c r="D17" s="662"/>
      <c r="E17" s="660"/>
      <c r="F17" s="662"/>
      <c r="G17" s="660"/>
      <c r="H17" s="661"/>
      <c r="I17" s="661"/>
      <c r="J17" s="661"/>
      <c r="K17" s="661"/>
      <c r="L17" s="662"/>
      <c r="M17" s="638" t="s">
        <v>121</v>
      </c>
      <c r="N17" s="639"/>
      <c r="O17" s="639"/>
      <c r="P17" s="639"/>
      <c r="Q17" s="642"/>
      <c r="R17" s="638" t="s">
        <v>122</v>
      </c>
      <c r="S17" s="639"/>
      <c r="T17" s="639"/>
      <c r="U17" s="639"/>
      <c r="V17" s="665" t="s">
        <v>117</v>
      </c>
      <c r="W17" s="665"/>
      <c r="X17" s="665"/>
      <c r="AB17" s="677"/>
      <c r="AC17" s="677"/>
      <c r="AD17" s="680" t="s">
        <v>137</v>
      </c>
      <c r="AE17" s="680"/>
      <c r="AF17" s="680"/>
      <c r="AG17" s="680"/>
      <c r="AH17" s="680"/>
      <c r="AI17" s="1028">
        <v>2</v>
      </c>
      <c r="AJ17" s="1028"/>
      <c r="AK17" s="1028"/>
      <c r="AL17" s="1028">
        <v>2</v>
      </c>
      <c r="AM17" s="1028"/>
      <c r="AN17" s="1028"/>
      <c r="AO17" s="1028"/>
      <c r="AP17" s="674">
        <f t="shared" si="0"/>
        <v>1</v>
      </c>
      <c r="AQ17" s="674"/>
      <c r="AR17" s="668"/>
    </row>
    <row r="18" spans="2:44" ht="28.5" customHeight="1">
      <c r="B18" s="139" t="s">
        <v>188</v>
      </c>
      <c r="C18" s="607" t="s">
        <v>112</v>
      </c>
      <c r="D18" s="608"/>
      <c r="E18" s="644">
        <v>1</v>
      </c>
      <c r="F18" s="644"/>
      <c r="G18" s="632" t="s">
        <v>377</v>
      </c>
      <c r="H18" s="632"/>
      <c r="I18" s="632"/>
      <c r="J18" s="632"/>
      <c r="K18" s="632"/>
      <c r="L18" s="632"/>
      <c r="M18" s="595" t="s">
        <v>123</v>
      </c>
      <c r="N18" s="595"/>
      <c r="O18" s="595"/>
      <c r="P18" s="595"/>
      <c r="Q18" s="595"/>
      <c r="R18" s="596" t="s">
        <v>124</v>
      </c>
      <c r="S18" s="596"/>
      <c r="T18" s="596"/>
      <c r="U18" s="596"/>
      <c r="V18" s="597" t="s">
        <v>125</v>
      </c>
      <c r="W18" s="597"/>
      <c r="X18" s="597"/>
      <c r="AB18" s="677"/>
      <c r="AC18" s="677"/>
      <c r="AD18" s="680" t="s">
        <v>138</v>
      </c>
      <c r="AE18" s="680"/>
      <c r="AF18" s="680"/>
      <c r="AG18" s="680"/>
      <c r="AH18" s="680"/>
      <c r="AI18" s="1028">
        <v>1</v>
      </c>
      <c r="AJ18" s="1028"/>
      <c r="AK18" s="1028"/>
      <c r="AL18" s="1028">
        <v>1</v>
      </c>
      <c r="AM18" s="1028"/>
      <c r="AN18" s="1028"/>
      <c r="AO18" s="1028"/>
      <c r="AP18" s="674">
        <f t="shared" si="0"/>
        <v>1</v>
      </c>
      <c r="AQ18" s="674"/>
      <c r="AR18" s="668"/>
    </row>
    <row r="19" spans="2:44" ht="25.15" customHeight="1">
      <c r="B19" s="638" t="s">
        <v>9</v>
      </c>
      <c r="C19" s="639"/>
      <c r="D19" s="639"/>
      <c r="E19" s="639"/>
      <c r="F19" s="639"/>
      <c r="G19" s="639"/>
      <c r="H19" s="639"/>
      <c r="I19" s="639"/>
      <c r="J19" s="639"/>
      <c r="K19" s="639"/>
      <c r="L19" s="642"/>
      <c r="M19" s="638" t="s">
        <v>10</v>
      </c>
      <c r="N19" s="639"/>
      <c r="O19" s="639"/>
      <c r="P19" s="639"/>
      <c r="Q19" s="639"/>
      <c r="R19" s="639"/>
      <c r="S19" s="639"/>
      <c r="T19" s="639"/>
      <c r="U19" s="639"/>
      <c r="V19" s="639"/>
      <c r="W19" s="639"/>
      <c r="X19" s="642"/>
      <c r="AB19" s="679">
        <v>2022</v>
      </c>
      <c r="AC19" s="679"/>
      <c r="AD19" s="681" t="s">
        <v>139</v>
      </c>
      <c r="AE19" s="681"/>
      <c r="AF19" s="681"/>
      <c r="AG19" s="681"/>
      <c r="AH19" s="681"/>
      <c r="AI19" s="1027">
        <v>1</v>
      </c>
      <c r="AJ19" s="1027"/>
      <c r="AK19" s="1027"/>
      <c r="AL19" s="1027">
        <v>1</v>
      </c>
      <c r="AM19" s="1027"/>
      <c r="AN19" s="1027"/>
      <c r="AO19" s="1027"/>
      <c r="AP19" s="671">
        <f t="shared" si="0"/>
        <v>1</v>
      </c>
      <c r="AQ19" s="671"/>
      <c r="AR19" s="669" t="e">
        <f t="shared" ref="AR19" si="2">SUM(AP19:AQ22)/4</f>
        <v>#DIV/0!</v>
      </c>
    </row>
    <row r="20" spans="2:44" ht="45.4" customHeight="1">
      <c r="B20" s="607" t="s">
        <v>429</v>
      </c>
      <c r="C20" s="643"/>
      <c r="D20" s="643"/>
      <c r="E20" s="643"/>
      <c r="F20" s="643"/>
      <c r="G20" s="643"/>
      <c r="H20" s="643"/>
      <c r="I20" s="643"/>
      <c r="J20" s="643"/>
      <c r="K20" s="643"/>
      <c r="L20" s="608"/>
      <c r="M20" s="607"/>
      <c r="N20" s="643"/>
      <c r="O20" s="643"/>
      <c r="P20" s="643"/>
      <c r="Q20" s="643"/>
      <c r="R20" s="643"/>
      <c r="S20" s="643"/>
      <c r="T20" s="643"/>
      <c r="U20" s="643"/>
      <c r="V20" s="643"/>
      <c r="W20" s="643"/>
      <c r="X20" s="608"/>
      <c r="AA20" s="51"/>
      <c r="AB20" s="679"/>
      <c r="AC20" s="679"/>
      <c r="AD20" s="681" t="s">
        <v>140</v>
      </c>
      <c r="AE20" s="681"/>
      <c r="AF20" s="681"/>
      <c r="AG20" s="681"/>
      <c r="AH20" s="681"/>
      <c r="AI20" s="1027">
        <v>1</v>
      </c>
      <c r="AJ20" s="1027"/>
      <c r="AK20" s="1027"/>
      <c r="AL20" s="1027">
        <v>1</v>
      </c>
      <c r="AM20" s="1027"/>
      <c r="AN20" s="1027"/>
      <c r="AO20" s="1027"/>
      <c r="AP20" s="671">
        <f t="shared" si="0"/>
        <v>1</v>
      </c>
      <c r="AQ20" s="671"/>
      <c r="AR20" s="669"/>
    </row>
    <row r="21" spans="2:44" ht="18.95" customHeight="1">
      <c r="B21" s="598" t="s">
        <v>11</v>
      </c>
      <c r="C21" s="599"/>
      <c r="D21" s="599"/>
      <c r="E21" s="599"/>
      <c r="F21" s="599"/>
      <c r="G21" s="599"/>
      <c r="H21" s="599"/>
      <c r="I21" s="599"/>
      <c r="J21" s="599"/>
      <c r="K21" s="599"/>
      <c r="L21" s="599"/>
      <c r="M21" s="599"/>
      <c r="N21" s="599"/>
      <c r="O21" s="599"/>
      <c r="P21" s="599"/>
      <c r="Q21" s="599"/>
      <c r="R21" s="599"/>
      <c r="S21" s="599"/>
      <c r="T21" s="599"/>
      <c r="U21" s="599"/>
      <c r="V21" s="599"/>
      <c r="W21" s="599"/>
      <c r="X21" s="600"/>
      <c r="AB21" s="679"/>
      <c r="AC21" s="679"/>
      <c r="AD21" s="681" t="s">
        <v>141</v>
      </c>
      <c r="AE21" s="681"/>
      <c r="AF21" s="681"/>
      <c r="AG21" s="681"/>
      <c r="AH21" s="681"/>
      <c r="AI21" s="1027"/>
      <c r="AJ21" s="1027"/>
      <c r="AK21" s="1027"/>
      <c r="AL21" s="1027"/>
      <c r="AM21" s="1027"/>
      <c r="AN21" s="1027"/>
      <c r="AO21" s="1027"/>
      <c r="AP21" s="671" t="e">
        <f t="shared" si="0"/>
        <v>#DIV/0!</v>
      </c>
      <c r="AQ21" s="671"/>
      <c r="AR21" s="669"/>
    </row>
    <row r="22" spans="2:44" ht="18.95" customHeight="1">
      <c r="B22" s="633" t="s">
        <v>12</v>
      </c>
      <c r="C22" s="633"/>
      <c r="D22" s="91" t="s">
        <v>13</v>
      </c>
      <c r="E22" s="91" t="s">
        <v>14</v>
      </c>
      <c r="F22" s="91" t="s">
        <v>15</v>
      </c>
      <c r="G22" s="641" t="s">
        <v>16</v>
      </c>
      <c r="H22" s="641"/>
      <c r="I22" s="641"/>
      <c r="J22" s="91" t="s">
        <v>17</v>
      </c>
      <c r="K22" s="641" t="s">
        <v>18</v>
      </c>
      <c r="L22" s="641"/>
      <c r="M22" s="641"/>
      <c r="N22" s="91" t="s">
        <v>19</v>
      </c>
      <c r="O22" s="641" t="s">
        <v>20</v>
      </c>
      <c r="P22" s="641"/>
      <c r="Q22" s="641" t="s">
        <v>21</v>
      </c>
      <c r="R22" s="641"/>
      <c r="S22" s="641"/>
      <c r="T22" s="641" t="s">
        <v>22</v>
      </c>
      <c r="U22" s="641"/>
      <c r="V22" s="641" t="s">
        <v>23</v>
      </c>
      <c r="W22" s="641"/>
      <c r="X22" s="91" t="s">
        <v>24</v>
      </c>
      <c r="AB22" s="679"/>
      <c r="AC22" s="679"/>
      <c r="AD22" s="681" t="s">
        <v>142</v>
      </c>
      <c r="AE22" s="681"/>
      <c r="AF22" s="681"/>
      <c r="AG22" s="681"/>
      <c r="AH22" s="681"/>
      <c r="AI22" s="1027"/>
      <c r="AJ22" s="1027"/>
      <c r="AK22" s="1027"/>
      <c r="AL22" s="1027"/>
      <c r="AM22" s="1027"/>
      <c r="AN22" s="1027"/>
      <c r="AO22" s="1027"/>
      <c r="AP22" s="671" t="e">
        <f t="shared" si="0"/>
        <v>#DIV/0!</v>
      </c>
      <c r="AQ22" s="671"/>
      <c r="AR22" s="669"/>
    </row>
    <row r="23" spans="2:44" ht="18.95" customHeight="1">
      <c r="B23" s="633" t="s">
        <v>25</v>
      </c>
      <c r="C23" s="633"/>
      <c r="D23" s="682">
        <f>AL15</f>
        <v>3</v>
      </c>
      <c r="E23" s="683"/>
      <c r="F23" s="684"/>
      <c r="G23" s="685">
        <f>AL16</f>
        <v>3</v>
      </c>
      <c r="H23" s="872"/>
      <c r="I23" s="872"/>
      <c r="J23" s="872"/>
      <c r="K23" s="872"/>
      <c r="L23" s="872"/>
      <c r="M23" s="873"/>
      <c r="N23" s="682">
        <f>AL17</f>
        <v>2</v>
      </c>
      <c r="O23" s="683"/>
      <c r="P23" s="683"/>
      <c r="Q23" s="683"/>
      <c r="R23" s="683"/>
      <c r="S23" s="684"/>
      <c r="T23" s="685">
        <f>AL18</f>
        <v>1</v>
      </c>
      <c r="U23" s="643"/>
      <c r="V23" s="643"/>
      <c r="W23" s="643"/>
      <c r="X23" s="608"/>
      <c r="Z23" s="52"/>
      <c r="AA23" s="52"/>
    </row>
    <row r="24" spans="2:44" ht="18.95" customHeight="1">
      <c r="B24" s="633" t="s">
        <v>26</v>
      </c>
      <c r="C24" s="633"/>
      <c r="D24" s="682">
        <f>AI15</f>
        <v>3</v>
      </c>
      <c r="E24" s="683"/>
      <c r="F24" s="684"/>
      <c r="G24" s="685">
        <f>AI16</f>
        <v>3</v>
      </c>
      <c r="H24" s="643"/>
      <c r="I24" s="643"/>
      <c r="J24" s="643"/>
      <c r="K24" s="643"/>
      <c r="L24" s="643"/>
      <c r="M24" s="608"/>
      <c r="N24" s="682">
        <f>AI17</f>
        <v>2</v>
      </c>
      <c r="O24" s="683"/>
      <c r="P24" s="683"/>
      <c r="Q24" s="683"/>
      <c r="R24" s="683"/>
      <c r="S24" s="684"/>
      <c r="T24" s="685">
        <f>AI18</f>
        <v>1</v>
      </c>
      <c r="U24" s="643"/>
      <c r="V24" s="643"/>
      <c r="W24" s="643"/>
      <c r="X24" s="608"/>
      <c r="Y24" s="53"/>
    </row>
    <row r="25" spans="2:44" ht="19.7" customHeight="1">
      <c r="B25" s="598" t="s">
        <v>47</v>
      </c>
      <c r="C25" s="599"/>
      <c r="D25" s="599"/>
      <c r="E25" s="599"/>
      <c r="F25" s="599"/>
      <c r="G25" s="599"/>
      <c r="H25" s="599"/>
      <c r="I25" s="599"/>
      <c r="J25" s="599"/>
      <c r="K25" s="599"/>
      <c r="L25" s="599"/>
      <c r="M25" s="599"/>
      <c r="N25" s="599"/>
      <c r="O25" s="599"/>
      <c r="P25" s="599"/>
      <c r="Q25" s="599"/>
      <c r="R25" s="599"/>
      <c r="S25" s="599"/>
      <c r="T25" s="599"/>
      <c r="U25" s="599"/>
      <c r="V25" s="599"/>
      <c r="W25" s="599"/>
      <c r="X25" s="600"/>
    </row>
    <row r="26" spans="2:44" ht="25.5">
      <c r="B26" s="91" t="s">
        <v>27</v>
      </c>
      <c r="C26" s="91" t="s">
        <v>28</v>
      </c>
      <c r="D26" s="91" t="s">
        <v>29</v>
      </c>
      <c r="E26" s="91" t="s">
        <v>30</v>
      </c>
      <c r="F26" s="27"/>
      <c r="G26" s="27"/>
      <c r="H26" s="601"/>
      <c r="I26" s="601"/>
      <c r="J26" s="601"/>
      <c r="K26" s="601"/>
      <c r="L26" s="601"/>
      <c r="M26" s="601"/>
      <c r="N26" s="601"/>
      <c r="O26" s="601"/>
      <c r="P26" s="601"/>
      <c r="Q26" s="601"/>
      <c r="R26" s="601"/>
      <c r="S26" s="627"/>
      <c r="T26" s="627"/>
      <c r="U26" s="627"/>
      <c r="V26" s="627"/>
      <c r="W26" s="627"/>
      <c r="X26" s="623"/>
    </row>
    <row r="27" spans="2:44" ht="17.649999999999999" customHeight="1">
      <c r="B27" s="93" t="s">
        <v>31</v>
      </c>
      <c r="C27" s="686">
        <f>IF(ISERROR($D$23/$D$24),0,$D$23/$D$24)</f>
        <v>1</v>
      </c>
      <c r="D27" s="686">
        <f>$E$18</f>
        <v>1</v>
      </c>
      <c r="E27" s="92">
        <f>$O$14</f>
        <v>1</v>
      </c>
      <c r="F27" s="28"/>
      <c r="G27" s="28"/>
      <c r="H27" s="602"/>
      <c r="I27" s="602"/>
      <c r="J27" s="590"/>
      <c r="K27" s="590"/>
      <c r="L27" s="5"/>
      <c r="M27" s="5"/>
      <c r="N27" s="602"/>
      <c r="O27" s="602"/>
      <c r="P27" s="602"/>
      <c r="Q27" s="602"/>
      <c r="R27" s="602"/>
      <c r="S27" s="628"/>
      <c r="T27" s="628"/>
      <c r="U27" s="628"/>
      <c r="V27" s="628"/>
      <c r="W27" s="628"/>
      <c r="X27" s="629"/>
    </row>
    <row r="28" spans="2:44" ht="17.649999999999999" customHeight="1">
      <c r="B28" s="93" t="s">
        <v>32</v>
      </c>
      <c r="C28" s="687"/>
      <c r="D28" s="687"/>
      <c r="E28" s="92">
        <f t="shared" ref="E28:E37" si="3">$O$14</f>
        <v>1</v>
      </c>
      <c r="F28" s="28"/>
      <c r="G28" s="28"/>
      <c r="H28" s="590"/>
      <c r="I28" s="590"/>
      <c r="J28" s="590"/>
      <c r="K28" s="590"/>
      <c r="L28" s="6"/>
      <c r="M28" s="5"/>
      <c r="N28" s="590"/>
      <c r="O28" s="590"/>
      <c r="P28" s="590"/>
      <c r="Q28" s="590"/>
      <c r="R28" s="590"/>
      <c r="S28" s="628"/>
      <c r="T28" s="628"/>
      <c r="U28" s="628"/>
      <c r="V28" s="628"/>
      <c r="W28" s="628"/>
      <c r="X28" s="629"/>
    </row>
    <row r="29" spans="2:44" ht="17.649999999999999" customHeight="1">
      <c r="B29" s="93" t="s">
        <v>33</v>
      </c>
      <c r="C29" s="688"/>
      <c r="D29" s="688"/>
      <c r="E29" s="92">
        <f t="shared" si="3"/>
        <v>1</v>
      </c>
      <c r="F29" s="28"/>
      <c r="G29" s="28"/>
      <c r="H29" s="590"/>
      <c r="I29" s="590"/>
      <c r="J29" s="590"/>
      <c r="K29" s="590"/>
      <c r="L29" s="6"/>
      <c r="M29" s="5"/>
      <c r="N29" s="590"/>
      <c r="O29" s="590"/>
      <c r="P29" s="590"/>
      <c r="Q29" s="590"/>
      <c r="R29" s="590"/>
      <c r="S29" s="628"/>
      <c r="T29" s="628"/>
      <c r="U29" s="628"/>
      <c r="V29" s="628"/>
      <c r="W29" s="628"/>
      <c r="X29" s="629"/>
    </row>
    <row r="30" spans="2:44" ht="17.649999999999999" customHeight="1">
      <c r="B30" s="93" t="s">
        <v>34</v>
      </c>
      <c r="C30" s="686">
        <f>IF(ISERROR($G$23/$G$24),0,$G$23/$G$24)</f>
        <v>1</v>
      </c>
      <c r="D30" s="686">
        <f t="shared" ref="D30:D36" si="4">$E$18</f>
        <v>1</v>
      </c>
      <c r="E30" s="92">
        <f t="shared" si="3"/>
        <v>1</v>
      </c>
      <c r="F30" s="28"/>
      <c r="G30" s="28"/>
      <c r="H30" s="590"/>
      <c r="I30" s="590"/>
      <c r="J30" s="590"/>
      <c r="K30" s="590"/>
      <c r="L30" s="6"/>
      <c r="M30" s="5"/>
      <c r="N30" s="590"/>
      <c r="O30" s="590"/>
      <c r="P30" s="590"/>
      <c r="Q30" s="590"/>
      <c r="R30" s="590"/>
      <c r="S30" s="628"/>
      <c r="T30" s="628"/>
      <c r="U30" s="628"/>
      <c r="V30" s="628"/>
      <c r="W30" s="628"/>
      <c r="X30" s="629"/>
    </row>
    <row r="31" spans="2:44" ht="17.649999999999999" customHeight="1">
      <c r="B31" s="93" t="s">
        <v>35</v>
      </c>
      <c r="C31" s="687"/>
      <c r="D31" s="687"/>
      <c r="E31" s="92">
        <f t="shared" si="3"/>
        <v>1</v>
      </c>
      <c r="F31" s="28"/>
      <c r="G31" s="28"/>
      <c r="H31" s="590"/>
      <c r="I31" s="590"/>
      <c r="J31" s="590"/>
      <c r="K31" s="590"/>
      <c r="L31" s="6"/>
      <c r="M31" s="5"/>
      <c r="N31" s="590"/>
      <c r="O31" s="590"/>
      <c r="P31" s="590"/>
      <c r="Q31" s="590"/>
      <c r="R31" s="590"/>
      <c r="S31" s="628"/>
      <c r="T31" s="628"/>
      <c r="U31" s="628"/>
      <c r="V31" s="628"/>
      <c r="W31" s="628"/>
      <c r="X31" s="629"/>
    </row>
    <row r="32" spans="2:44" ht="17.649999999999999" customHeight="1">
      <c r="B32" s="93" t="s">
        <v>36</v>
      </c>
      <c r="C32" s="688"/>
      <c r="D32" s="688"/>
      <c r="E32" s="92">
        <f t="shared" si="3"/>
        <v>1</v>
      </c>
      <c r="F32" s="28"/>
      <c r="G32" s="28"/>
      <c r="H32" s="590"/>
      <c r="I32" s="590"/>
      <c r="J32" s="590"/>
      <c r="K32" s="590"/>
      <c r="L32" s="6"/>
      <c r="M32" s="5"/>
      <c r="N32" s="590"/>
      <c r="O32" s="590"/>
      <c r="P32" s="590"/>
      <c r="Q32" s="590"/>
      <c r="R32" s="590"/>
      <c r="S32" s="628"/>
      <c r="T32" s="628"/>
      <c r="U32" s="628"/>
      <c r="V32" s="628"/>
      <c r="W32" s="628"/>
      <c r="X32" s="629"/>
    </row>
    <row r="33" spans="2:27" ht="17.649999999999999" customHeight="1">
      <c r="B33" s="93" t="s">
        <v>37</v>
      </c>
      <c r="C33" s="686">
        <f>IF(ISERROR($N$23/$N$24),0,$N$23/$N$24)</f>
        <v>1</v>
      </c>
      <c r="D33" s="686">
        <f t="shared" si="4"/>
        <v>1</v>
      </c>
      <c r="E33" s="92">
        <f t="shared" si="3"/>
        <v>1</v>
      </c>
      <c r="F33" s="28"/>
      <c r="G33" s="28"/>
      <c r="H33" s="590"/>
      <c r="I33" s="590"/>
      <c r="J33" s="590"/>
      <c r="K33" s="590"/>
      <c r="L33" s="6"/>
      <c r="M33" s="5"/>
      <c r="N33" s="590"/>
      <c r="O33" s="590"/>
      <c r="P33" s="590"/>
      <c r="Q33" s="590"/>
      <c r="R33" s="590"/>
      <c r="S33" s="628"/>
      <c r="T33" s="628"/>
      <c r="U33" s="628"/>
      <c r="V33" s="628"/>
      <c r="W33" s="628"/>
      <c r="X33" s="629"/>
    </row>
    <row r="34" spans="2:27" ht="17.649999999999999" customHeight="1">
      <c r="B34" s="93" t="s">
        <v>38</v>
      </c>
      <c r="C34" s="687"/>
      <c r="D34" s="687"/>
      <c r="E34" s="92">
        <f t="shared" si="3"/>
        <v>1</v>
      </c>
      <c r="F34" s="28"/>
      <c r="G34" s="28"/>
      <c r="H34" s="590"/>
      <c r="I34" s="590"/>
      <c r="J34" s="590"/>
      <c r="K34" s="590"/>
      <c r="L34" s="6"/>
      <c r="M34" s="5"/>
      <c r="N34" s="590"/>
      <c r="O34" s="590"/>
      <c r="P34" s="590"/>
      <c r="Q34" s="590"/>
      <c r="R34" s="590"/>
      <c r="S34" s="628"/>
      <c r="T34" s="628"/>
      <c r="U34" s="628"/>
      <c r="V34" s="628"/>
      <c r="W34" s="628"/>
      <c r="X34" s="629"/>
    </row>
    <row r="35" spans="2:27" ht="17.649999999999999" customHeight="1">
      <c r="B35" s="93" t="s">
        <v>39</v>
      </c>
      <c r="C35" s="688"/>
      <c r="D35" s="688"/>
      <c r="E35" s="92">
        <f t="shared" si="3"/>
        <v>1</v>
      </c>
      <c r="F35" s="28"/>
      <c r="G35" s="28"/>
      <c r="H35" s="590"/>
      <c r="I35" s="590"/>
      <c r="J35" s="590"/>
      <c r="K35" s="590"/>
      <c r="L35" s="6"/>
      <c r="M35" s="5"/>
      <c r="N35" s="590"/>
      <c r="O35" s="590"/>
      <c r="P35" s="590"/>
      <c r="Q35" s="590"/>
      <c r="R35" s="590"/>
      <c r="S35" s="628"/>
      <c r="T35" s="628"/>
      <c r="U35" s="628"/>
      <c r="V35" s="628"/>
      <c r="W35" s="628"/>
      <c r="X35" s="629"/>
    </row>
    <row r="36" spans="2:27" ht="17.649999999999999" customHeight="1">
      <c r="B36" s="93" t="s">
        <v>40</v>
      </c>
      <c r="C36" s="686">
        <f>IF(ISERROR($T$23/$T$24),0,$T$23/$T$24)</f>
        <v>1</v>
      </c>
      <c r="D36" s="686">
        <f t="shared" si="4"/>
        <v>1</v>
      </c>
      <c r="E36" s="92">
        <f t="shared" si="3"/>
        <v>1</v>
      </c>
      <c r="F36" s="28"/>
      <c r="G36" s="28"/>
      <c r="H36" s="590"/>
      <c r="I36" s="590"/>
      <c r="J36" s="590"/>
      <c r="K36" s="590"/>
      <c r="L36" s="6"/>
      <c r="M36" s="5"/>
      <c r="N36" s="590"/>
      <c r="O36" s="590"/>
      <c r="P36" s="590"/>
      <c r="Q36" s="590"/>
      <c r="R36" s="590"/>
      <c r="S36" s="628"/>
      <c r="T36" s="628"/>
      <c r="U36" s="628"/>
      <c r="V36" s="628"/>
      <c r="W36" s="628"/>
      <c r="X36" s="629"/>
    </row>
    <row r="37" spans="2:27" ht="17.649999999999999" customHeight="1">
      <c r="B37" s="93" t="s">
        <v>41</v>
      </c>
      <c r="C37" s="687"/>
      <c r="D37" s="687"/>
      <c r="E37" s="92">
        <f t="shared" si="3"/>
        <v>1</v>
      </c>
      <c r="F37" s="28"/>
      <c r="G37" s="28"/>
      <c r="H37" s="590"/>
      <c r="I37" s="590"/>
      <c r="J37" s="590"/>
      <c r="K37" s="590"/>
      <c r="L37" s="6"/>
      <c r="M37" s="5"/>
      <c r="N37" s="590"/>
      <c r="O37" s="590"/>
      <c r="P37" s="590"/>
      <c r="Q37" s="590"/>
      <c r="R37" s="590"/>
      <c r="S37" s="628"/>
      <c r="T37" s="628"/>
      <c r="U37" s="628"/>
      <c r="V37" s="628"/>
      <c r="W37" s="628"/>
      <c r="X37" s="629"/>
    </row>
    <row r="38" spans="2:27" ht="17.649999999999999" customHeight="1">
      <c r="B38" s="93" t="s">
        <v>42</v>
      </c>
      <c r="C38" s="688"/>
      <c r="D38" s="688"/>
      <c r="E38" s="92">
        <v>0</v>
      </c>
      <c r="F38" s="29"/>
      <c r="G38" s="29"/>
      <c r="H38" s="620"/>
      <c r="I38" s="620"/>
      <c r="J38" s="620"/>
      <c r="K38" s="620"/>
      <c r="L38" s="7"/>
      <c r="M38" s="8"/>
      <c r="N38" s="620"/>
      <c r="O38" s="620"/>
      <c r="P38" s="620"/>
      <c r="Q38" s="620"/>
      <c r="R38" s="620"/>
      <c r="S38" s="630"/>
      <c r="T38" s="630"/>
      <c r="U38" s="630"/>
      <c r="V38" s="630"/>
      <c r="W38" s="630"/>
      <c r="X38" s="631"/>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624" t="s">
        <v>50</v>
      </c>
      <c r="C40" s="625"/>
      <c r="D40" s="625"/>
      <c r="E40" s="625"/>
      <c r="F40" s="625"/>
      <c r="G40" s="625"/>
      <c r="H40" s="625"/>
      <c r="I40" s="625"/>
      <c r="J40" s="625"/>
      <c r="K40" s="625"/>
      <c r="L40" s="625"/>
      <c r="M40" s="625"/>
      <c r="N40" s="625"/>
      <c r="O40" s="625"/>
      <c r="P40" s="625"/>
      <c r="Q40" s="625"/>
      <c r="R40" s="625"/>
      <c r="S40" s="625"/>
      <c r="T40" s="625"/>
      <c r="U40" s="625"/>
      <c r="V40" s="625"/>
      <c r="W40" s="625"/>
      <c r="X40" s="626"/>
    </row>
    <row r="41" spans="2:27" ht="33" customHeight="1">
      <c r="B41" s="621"/>
      <c r="C41" s="621"/>
      <c r="D41" s="621"/>
      <c r="E41" s="621"/>
      <c r="F41" s="621"/>
      <c r="G41" s="621"/>
      <c r="H41" s="621"/>
      <c r="I41" s="621"/>
      <c r="J41" s="621"/>
      <c r="K41" s="621"/>
      <c r="L41" s="621"/>
      <c r="M41" s="621"/>
      <c r="N41" s="621"/>
      <c r="O41" s="621"/>
      <c r="P41" s="621"/>
      <c r="Q41" s="621"/>
      <c r="R41" s="621"/>
      <c r="S41" s="621"/>
      <c r="T41" s="621"/>
      <c r="U41" s="621"/>
      <c r="V41" s="621"/>
      <c r="W41" s="621"/>
      <c r="X41" s="621"/>
      <c r="Y41" s="54"/>
      <c r="Z41" s="55"/>
      <c r="AA41" s="55"/>
    </row>
    <row r="42" spans="2:27" ht="10.5" customHeight="1">
      <c r="B42" s="622"/>
      <c r="C42" s="601"/>
      <c r="D42" s="601"/>
      <c r="E42" s="601"/>
      <c r="F42" s="601"/>
      <c r="G42" s="601"/>
      <c r="H42" s="601"/>
      <c r="I42" s="601"/>
      <c r="J42" s="601"/>
      <c r="K42" s="601"/>
      <c r="L42" s="601"/>
      <c r="M42" s="601"/>
      <c r="N42" s="601"/>
      <c r="O42" s="601"/>
      <c r="P42" s="601"/>
      <c r="Q42" s="601"/>
      <c r="R42" s="601"/>
      <c r="S42" s="601"/>
      <c r="T42" s="601"/>
      <c r="U42" s="601"/>
      <c r="V42" s="601"/>
      <c r="W42" s="601"/>
      <c r="X42" s="623"/>
      <c r="Y42" s="56"/>
      <c r="Z42" s="57"/>
      <c r="AA42" s="58"/>
    </row>
    <row r="43" spans="2:27" ht="18" customHeight="1">
      <c r="B43" s="614" t="s">
        <v>43</v>
      </c>
      <c r="C43" s="615"/>
      <c r="D43" s="615"/>
      <c r="E43" s="615"/>
      <c r="F43" s="615"/>
      <c r="G43" s="615"/>
      <c r="H43" s="615"/>
      <c r="I43" s="615"/>
      <c r="J43" s="615"/>
      <c r="K43" s="615"/>
      <c r="L43" s="615"/>
      <c r="M43" s="615"/>
      <c r="N43" s="615"/>
      <c r="O43" s="615"/>
      <c r="P43" s="615"/>
      <c r="Q43" s="615"/>
      <c r="R43" s="615"/>
      <c r="S43" s="615"/>
      <c r="T43" s="615"/>
      <c r="U43" s="615"/>
      <c r="V43" s="615"/>
      <c r="W43" s="615"/>
      <c r="X43" s="616"/>
      <c r="Y43" s="56"/>
      <c r="Z43" s="57"/>
      <c r="AA43" s="58"/>
    </row>
    <row r="44" spans="2:27" ht="32.25" customHeight="1">
      <c r="B44" s="617"/>
      <c r="C44" s="618"/>
      <c r="D44" s="618"/>
      <c r="E44" s="618"/>
      <c r="F44" s="618"/>
      <c r="G44" s="618"/>
      <c r="H44" s="618"/>
      <c r="I44" s="618"/>
      <c r="J44" s="618"/>
      <c r="K44" s="618"/>
      <c r="L44" s="618"/>
      <c r="M44" s="618"/>
      <c r="N44" s="618"/>
      <c r="O44" s="618"/>
      <c r="P44" s="618"/>
      <c r="Q44" s="618"/>
      <c r="R44" s="618"/>
      <c r="S44" s="618"/>
      <c r="T44" s="618"/>
      <c r="U44" s="618"/>
      <c r="V44" s="618"/>
      <c r="W44" s="618"/>
      <c r="X44" s="619"/>
      <c r="Y44" s="56"/>
      <c r="Z44" s="57"/>
      <c r="AA44" s="58"/>
    </row>
    <row r="45" spans="2:27" ht="8.4499999999999993" customHeight="1">
      <c r="B45" s="30"/>
      <c r="C45" s="27"/>
      <c r="D45" s="27"/>
      <c r="E45" s="27"/>
      <c r="F45" s="27"/>
      <c r="G45" s="601"/>
      <c r="H45" s="601"/>
      <c r="I45" s="601"/>
      <c r="J45" s="601"/>
      <c r="K45" s="601"/>
      <c r="L45" s="601"/>
      <c r="M45" s="27"/>
      <c r="N45" s="27"/>
      <c r="O45" s="27"/>
      <c r="P45" s="27"/>
      <c r="Q45" s="27"/>
      <c r="R45" s="27"/>
      <c r="S45" s="27"/>
      <c r="T45" s="27"/>
      <c r="U45" s="27"/>
      <c r="V45" s="27"/>
      <c r="W45" s="27"/>
      <c r="X45" s="31"/>
      <c r="Y45" s="56"/>
      <c r="Z45" s="57"/>
      <c r="AA45" s="58"/>
    </row>
    <row r="46" spans="2:27" ht="12.75">
      <c r="B46" s="603" t="s">
        <v>44</v>
      </c>
      <c r="C46" s="604"/>
      <c r="D46" s="604"/>
      <c r="E46" s="604"/>
      <c r="F46" s="604"/>
      <c r="G46" s="604"/>
      <c r="H46" s="604"/>
      <c r="I46" s="28"/>
      <c r="J46" s="13" t="s">
        <v>45</v>
      </c>
      <c r="K46" s="28"/>
      <c r="L46" s="605"/>
      <c r="M46" s="606"/>
      <c r="N46" s="28"/>
      <c r="O46" s="5" t="s">
        <v>46</v>
      </c>
      <c r="P46" s="28"/>
      <c r="Q46" s="607"/>
      <c r="R46" s="608"/>
      <c r="S46" s="28"/>
      <c r="T46" s="28"/>
      <c r="U46" s="28"/>
      <c r="V46" s="28"/>
      <c r="W46" s="28"/>
      <c r="X46" s="33"/>
      <c r="Y46" s="56"/>
      <c r="Z46" s="57"/>
      <c r="AA46" s="58"/>
    </row>
    <row r="47" spans="2:27" ht="8.4499999999999993" customHeight="1">
      <c r="B47" s="34"/>
      <c r="C47" s="28"/>
      <c r="D47" s="28"/>
      <c r="E47" s="28"/>
      <c r="F47" s="28"/>
      <c r="G47" s="28"/>
      <c r="H47" s="28"/>
      <c r="I47" s="609"/>
      <c r="J47" s="609"/>
      <c r="K47" s="609"/>
      <c r="L47" s="609"/>
      <c r="M47" s="609"/>
      <c r="N47" s="609"/>
      <c r="O47" s="609"/>
      <c r="P47" s="609"/>
      <c r="Q47" s="609"/>
      <c r="R47" s="609"/>
      <c r="S47" s="609"/>
      <c r="T47" s="609"/>
      <c r="U47" s="609"/>
      <c r="V47" s="609"/>
      <c r="W47" s="609"/>
      <c r="X47" s="610"/>
      <c r="Y47" s="56"/>
      <c r="Z47" s="57"/>
      <c r="AA47" s="58"/>
    </row>
    <row r="48" spans="2:27" ht="35.25" customHeight="1">
      <c r="B48" s="611" t="s">
        <v>57</v>
      </c>
      <c r="C48" s="612"/>
      <c r="D48" s="612"/>
      <c r="E48" s="612"/>
      <c r="F48" s="612"/>
      <c r="G48" s="612"/>
      <c r="H48" s="612"/>
      <c r="I48" s="612"/>
      <c r="J48" s="612"/>
      <c r="K48" s="612"/>
      <c r="L48" s="612"/>
      <c r="M48" s="612"/>
      <c r="N48" s="612"/>
      <c r="O48" s="612"/>
      <c r="P48" s="612"/>
      <c r="Q48" s="612"/>
      <c r="R48" s="612"/>
      <c r="S48" s="612"/>
      <c r="T48" s="612"/>
      <c r="U48" s="612"/>
      <c r="V48" s="612"/>
      <c r="W48" s="612"/>
      <c r="X48" s="61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590"/>
      <c r="H50" s="590"/>
      <c r="I50" s="590"/>
      <c r="J50" s="590"/>
      <c r="K50" s="590"/>
      <c r="L50" s="590"/>
      <c r="M50" s="590"/>
      <c r="N50" s="590"/>
      <c r="O50" s="590"/>
      <c r="P50" s="590"/>
      <c r="Q50" s="590"/>
      <c r="R50" s="590"/>
      <c r="S50" s="590"/>
      <c r="T50" s="590"/>
      <c r="U50" s="590"/>
      <c r="V50" s="590"/>
      <c r="W50" s="590"/>
      <c r="X50" s="590"/>
      <c r="Y50" s="56"/>
      <c r="Z50" s="57"/>
      <c r="AA50" s="58"/>
    </row>
  </sheetData>
  <sheetProtection selectLockedCells="1" selectUnlockedCells="1"/>
  <mergeCells count="212">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I47:X47"/>
    <mergeCell ref="B48:X48"/>
    <mergeCell ref="G50:H50"/>
    <mergeCell ref="I50:X50"/>
    <mergeCell ref="B42:X42"/>
    <mergeCell ref="B43:X43"/>
    <mergeCell ref="B44:X44"/>
    <mergeCell ref="G45:H45"/>
    <mergeCell ref="I45:J45"/>
    <mergeCell ref="K45:L45"/>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5:X15"/>
    <mergeCell ref="AB15:AC18"/>
    <mergeCell ref="AD15:AH15"/>
    <mergeCell ref="AI15:AK15"/>
    <mergeCell ref="AL15:AO15"/>
    <mergeCell ref="AP15:AQ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7:AR10"/>
    <mergeCell ref="W5:X5"/>
    <mergeCell ref="AB5:AC6"/>
    <mergeCell ref="AD5:AH6"/>
    <mergeCell ref="AI5:AK6"/>
    <mergeCell ref="AL5:AO6"/>
    <mergeCell ref="AP5:AQ6"/>
    <mergeCell ref="AD8:AH8"/>
    <mergeCell ref="B9:X9"/>
    <mergeCell ref="AD9:AH9"/>
    <mergeCell ref="B10:X10"/>
    <mergeCell ref="AD10:AH10"/>
    <mergeCell ref="B1:T1"/>
    <mergeCell ref="U1:X4"/>
    <mergeCell ref="B2:T4"/>
    <mergeCell ref="AB3:AR4"/>
    <mergeCell ref="C5:D5"/>
    <mergeCell ref="E5:G5"/>
    <mergeCell ref="H5:J5"/>
    <mergeCell ref="K5:N5"/>
    <mergeCell ref="O5:R5"/>
    <mergeCell ref="S5:V5"/>
    <mergeCell ref="AR5:AR6"/>
    <mergeCell ref="B6:X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4"/>
  <sheetViews>
    <sheetView view="pageBreakPreview" zoomScale="70" zoomScaleNormal="70" zoomScaleSheetLayoutView="70" workbookViewId="0">
      <selection activeCell="AM36" sqref="AM36"/>
    </sheetView>
  </sheetViews>
  <sheetFormatPr baseColWidth="10" defaultRowHeight="15"/>
  <cols>
    <col min="1" max="1" width="17.5" style="305" customWidth="1"/>
    <col min="2" max="2" width="8" style="305" customWidth="1"/>
    <col min="3" max="3" width="10.875" style="305" customWidth="1"/>
    <col min="4" max="5" width="11.625" style="305" customWidth="1"/>
    <col min="6" max="6" width="10" style="305" customWidth="1"/>
    <col min="7" max="7" width="10.875" style="305" customWidth="1"/>
    <col min="8" max="8" width="13.25" style="305" customWidth="1"/>
    <col min="9" max="9" width="11.375" style="305" customWidth="1"/>
    <col min="10" max="12" width="13.25" style="305" customWidth="1"/>
    <col min="13" max="13" width="12.125" style="305" customWidth="1"/>
    <col min="14" max="14" width="10.625" style="305" customWidth="1"/>
    <col min="15" max="15" width="13.375" style="305" customWidth="1"/>
    <col min="16" max="16" width="13.25" style="305" customWidth="1"/>
    <col min="17" max="17" width="11.375" style="305" customWidth="1"/>
    <col min="18" max="18" width="13.25" style="305" customWidth="1"/>
    <col min="19" max="19" width="13.125" style="305" customWidth="1"/>
    <col min="20" max="20" width="13.5" style="305" customWidth="1"/>
    <col min="21" max="21" width="14.75" style="305" customWidth="1"/>
    <col min="22" max="22" width="17.375" style="305" customWidth="1"/>
    <col min="23" max="23" width="16.875" style="305" customWidth="1"/>
    <col min="24" max="24" width="13.75" style="305" customWidth="1"/>
    <col min="25" max="25" width="14.5" style="305" customWidth="1"/>
    <col min="26" max="16384" width="11" style="305"/>
  </cols>
  <sheetData>
    <row r="1" spans="1:27" s="296" customFormat="1" ht="23.25" customHeight="1">
      <c r="A1" s="1029"/>
      <c r="B1" s="1030"/>
      <c r="C1" s="1030"/>
      <c r="D1" s="1035" t="s">
        <v>208</v>
      </c>
      <c r="E1" s="1036"/>
      <c r="F1" s="1036"/>
      <c r="G1" s="1036"/>
      <c r="H1" s="1036"/>
      <c r="I1" s="1036"/>
      <c r="J1" s="1036"/>
      <c r="K1" s="1036"/>
      <c r="L1" s="1036"/>
      <c r="M1" s="1036"/>
      <c r="N1" s="1036"/>
      <c r="O1" s="1036"/>
      <c r="P1" s="1036"/>
      <c r="Q1" s="1036"/>
      <c r="R1" s="1036"/>
      <c r="S1" s="1036"/>
      <c r="T1" s="1036"/>
      <c r="U1" s="1036"/>
      <c r="V1" s="1036"/>
      <c r="W1" s="1037"/>
      <c r="X1" s="294" t="s">
        <v>209</v>
      </c>
      <c r="Y1" s="295" t="s">
        <v>210</v>
      </c>
    </row>
    <row r="2" spans="1:27" s="296" customFormat="1" ht="23.25" customHeight="1">
      <c r="A2" s="1031"/>
      <c r="B2" s="1032"/>
      <c r="C2" s="1032"/>
      <c r="D2" s="1038"/>
      <c r="E2" s="1039"/>
      <c r="F2" s="1039"/>
      <c r="G2" s="1039"/>
      <c r="H2" s="1039"/>
      <c r="I2" s="1039"/>
      <c r="J2" s="1039"/>
      <c r="K2" s="1039"/>
      <c r="L2" s="1039"/>
      <c r="M2" s="1039"/>
      <c r="N2" s="1039"/>
      <c r="O2" s="1039"/>
      <c r="P2" s="1039"/>
      <c r="Q2" s="1039"/>
      <c r="R2" s="1039"/>
      <c r="S2" s="1039"/>
      <c r="T2" s="1039"/>
      <c r="U2" s="1039"/>
      <c r="V2" s="1039"/>
      <c r="W2" s="1040"/>
      <c r="X2" s="297" t="s">
        <v>211</v>
      </c>
      <c r="Y2" s="298">
        <v>1</v>
      </c>
    </row>
    <row r="3" spans="1:27" s="296" customFormat="1" ht="18.75" customHeight="1" thickBot="1">
      <c r="A3" s="1033"/>
      <c r="B3" s="1034"/>
      <c r="C3" s="1034"/>
      <c r="D3" s="1041" t="s">
        <v>212</v>
      </c>
      <c r="E3" s="1042"/>
      <c r="F3" s="1042"/>
      <c r="G3" s="1042"/>
      <c r="H3" s="1042"/>
      <c r="I3" s="1042"/>
      <c r="J3" s="1042"/>
      <c r="K3" s="1042"/>
      <c r="L3" s="1042"/>
      <c r="M3" s="1042"/>
      <c r="N3" s="1042"/>
      <c r="O3" s="1042"/>
      <c r="P3" s="1042"/>
      <c r="Q3" s="1042"/>
      <c r="R3" s="1042"/>
      <c r="S3" s="1042"/>
      <c r="T3" s="1042"/>
      <c r="U3" s="1042"/>
      <c r="V3" s="1042"/>
      <c r="W3" s="1043"/>
      <c r="X3" s="299" t="s">
        <v>213</v>
      </c>
      <c r="Y3" s="300" t="s">
        <v>214</v>
      </c>
    </row>
    <row r="4" spans="1:27" s="296" customFormat="1" ht="18.75" customHeight="1">
      <c r="A4" s="301"/>
      <c r="B4" s="301"/>
      <c r="C4" s="301"/>
      <c r="D4" s="302"/>
      <c r="E4" s="302"/>
      <c r="F4" s="302"/>
      <c r="G4" s="302"/>
      <c r="H4" s="302"/>
      <c r="I4" s="302"/>
      <c r="J4" s="302"/>
      <c r="K4" s="302"/>
      <c r="L4" s="302"/>
      <c r="M4" s="302"/>
      <c r="N4" s="302"/>
      <c r="O4" s="302"/>
      <c r="P4" s="302"/>
      <c r="Q4" s="302"/>
      <c r="R4" s="302"/>
      <c r="S4" s="302"/>
      <c r="T4" s="302"/>
      <c r="U4" s="302"/>
      <c r="V4" s="302"/>
      <c r="W4" s="302"/>
      <c r="X4" s="303"/>
      <c r="Y4" s="304"/>
    </row>
    <row r="5" spans="1:27" s="296" customFormat="1" ht="18.75" customHeight="1">
      <c r="A5" s="301"/>
      <c r="B5" s="301"/>
      <c r="C5" s="301"/>
      <c r="D5" s="302"/>
      <c r="E5" s="302"/>
      <c r="F5" s="302"/>
      <c r="G5" s="302"/>
      <c r="H5" s="302"/>
      <c r="I5" s="302"/>
      <c r="J5" s="302"/>
      <c r="K5" s="302"/>
      <c r="L5" s="302"/>
      <c r="M5" s="302"/>
      <c r="N5" s="302"/>
      <c r="O5" s="302"/>
      <c r="P5" s="302"/>
      <c r="Q5" s="302"/>
      <c r="R5" s="302"/>
      <c r="S5" s="302"/>
      <c r="T5" s="302"/>
      <c r="U5" s="302"/>
      <c r="V5" s="302"/>
      <c r="W5" s="302"/>
      <c r="X5" s="303"/>
      <c r="Y5" s="304"/>
    </row>
    <row r="6" spans="1:27" ht="15.75" thickBot="1"/>
    <row r="7" spans="1:27" s="197" customFormat="1" ht="15" customHeight="1" thickBot="1">
      <c r="D7" s="1044" t="s">
        <v>215</v>
      </c>
      <c r="E7" s="1045"/>
      <c r="F7" s="1045"/>
      <c r="G7" s="1045"/>
      <c r="H7" s="1046" t="s">
        <v>216</v>
      </c>
      <c r="I7" s="1047"/>
      <c r="J7" s="1047"/>
      <c r="K7" s="1048"/>
      <c r="L7" s="1049" t="s">
        <v>217</v>
      </c>
      <c r="M7" s="1050"/>
      <c r="N7" s="1050"/>
      <c r="O7" s="1051" t="s">
        <v>218</v>
      </c>
      <c r="P7" s="1052"/>
      <c r="Q7" s="1052"/>
      <c r="R7" s="1053"/>
      <c r="T7" s="1054" t="s">
        <v>219</v>
      </c>
      <c r="U7" s="1055"/>
      <c r="V7" s="1056"/>
      <c r="W7" s="1057" t="s">
        <v>220</v>
      </c>
      <c r="X7" s="1058"/>
      <c r="Y7" s="198" t="s">
        <v>221</v>
      </c>
    </row>
    <row r="8" spans="1:27" s="221" customFormat="1" ht="77.45" customHeight="1">
      <c r="A8" s="199" t="s">
        <v>222</v>
      </c>
      <c r="B8" s="200" t="s">
        <v>223</v>
      </c>
      <c r="C8" s="201" t="s">
        <v>224</v>
      </c>
      <c r="D8" s="202" t="s">
        <v>225</v>
      </c>
      <c r="E8" s="203" t="s">
        <v>226</v>
      </c>
      <c r="F8" s="204" t="s">
        <v>227</v>
      </c>
      <c r="G8" s="205" t="s">
        <v>228</v>
      </c>
      <c r="H8" s="206" t="s">
        <v>229</v>
      </c>
      <c r="I8" s="207" t="s">
        <v>230</v>
      </c>
      <c r="J8" s="208" t="s">
        <v>231</v>
      </c>
      <c r="K8" s="209" t="s">
        <v>232</v>
      </c>
      <c r="L8" s="210" t="s">
        <v>233</v>
      </c>
      <c r="M8" s="211" t="s">
        <v>234</v>
      </c>
      <c r="N8" s="211" t="s">
        <v>235</v>
      </c>
      <c r="O8" s="212" t="s">
        <v>236</v>
      </c>
      <c r="P8" s="213" t="s">
        <v>229</v>
      </c>
      <c r="Q8" s="214" t="s">
        <v>230</v>
      </c>
      <c r="R8" s="215" t="s">
        <v>231</v>
      </c>
      <c r="S8" s="216" t="s">
        <v>237</v>
      </c>
      <c r="T8" s="202" t="s">
        <v>238</v>
      </c>
      <c r="U8" s="203" t="s">
        <v>239</v>
      </c>
      <c r="V8" s="217" t="s">
        <v>240</v>
      </c>
      <c r="W8" s="218" t="s">
        <v>241</v>
      </c>
      <c r="X8" s="219" t="s">
        <v>242</v>
      </c>
      <c r="Y8" s="220" t="s">
        <v>243</v>
      </c>
    </row>
    <row r="9" spans="1:27" customFormat="1">
      <c r="A9" s="222" t="s">
        <v>244</v>
      </c>
      <c r="B9" s="223" t="s">
        <v>483</v>
      </c>
      <c r="C9" s="224">
        <v>181</v>
      </c>
      <c r="D9" s="225">
        <v>1</v>
      </c>
      <c r="E9" s="226">
        <v>0</v>
      </c>
      <c r="F9" s="226">
        <v>1</v>
      </c>
      <c r="G9" s="227">
        <v>1</v>
      </c>
      <c r="H9" s="225">
        <v>2</v>
      </c>
      <c r="I9" s="226">
        <v>2</v>
      </c>
      <c r="J9" s="228">
        <v>4</v>
      </c>
      <c r="K9" s="229">
        <v>0</v>
      </c>
      <c r="L9" s="230">
        <v>3</v>
      </c>
      <c r="M9" s="231">
        <v>0</v>
      </c>
      <c r="N9" s="231">
        <v>3</v>
      </c>
      <c r="O9" s="225">
        <v>6</v>
      </c>
      <c r="P9" s="232">
        <v>52</v>
      </c>
      <c r="Q9" s="226">
        <v>0</v>
      </c>
      <c r="R9" s="233">
        <v>52</v>
      </c>
      <c r="S9" s="224">
        <v>56</v>
      </c>
      <c r="T9" s="234">
        <f t="shared" ref="T9:T21" si="0">(F9/C9)*100</f>
        <v>0.55248618784530379</v>
      </c>
      <c r="U9" s="235">
        <f>((J9+K9)/C9)*100</f>
        <v>2.2099447513812152</v>
      </c>
      <c r="V9" s="236">
        <f>(E9/F9)*100</f>
        <v>0</v>
      </c>
      <c r="W9" s="237">
        <f t="shared" ref="W9:W21" si="1">(N9/C9)*100</f>
        <v>1.6574585635359116</v>
      </c>
      <c r="X9" s="238">
        <f t="shared" ref="X9:X21" si="2">(M9/C9)*100</f>
        <v>0</v>
      </c>
      <c r="Y9" s="239">
        <f>((S9+J9)/(B9*C9))*100</f>
        <v>1.3259668508287292</v>
      </c>
    </row>
    <row r="10" spans="1:27" customFormat="1">
      <c r="A10" s="240" t="s">
        <v>246</v>
      </c>
      <c r="B10" s="241" t="s">
        <v>483</v>
      </c>
      <c r="C10" s="242">
        <v>180</v>
      </c>
      <c r="D10" s="243">
        <v>0</v>
      </c>
      <c r="E10" s="244">
        <v>0</v>
      </c>
      <c r="F10" s="244">
        <v>0</v>
      </c>
      <c r="G10" s="242">
        <v>0</v>
      </c>
      <c r="H10" s="243">
        <v>3</v>
      </c>
      <c r="I10" s="244">
        <v>0</v>
      </c>
      <c r="J10" s="245">
        <v>3</v>
      </c>
      <c r="K10" s="246">
        <v>0</v>
      </c>
      <c r="L10" s="247">
        <v>3</v>
      </c>
      <c r="M10" s="248">
        <v>0</v>
      </c>
      <c r="N10" s="248">
        <v>3</v>
      </c>
      <c r="O10" s="243">
        <v>6</v>
      </c>
      <c r="P10" s="249">
        <v>77</v>
      </c>
      <c r="Q10" s="244">
        <v>0</v>
      </c>
      <c r="R10" s="250">
        <v>77</v>
      </c>
      <c r="S10" s="242">
        <v>80</v>
      </c>
      <c r="T10" s="251">
        <f t="shared" si="0"/>
        <v>0</v>
      </c>
      <c r="U10" s="252">
        <f t="shared" ref="U10:U21" si="3">((J10+K10)/C10)*100</f>
        <v>1.6666666666666667</v>
      </c>
      <c r="V10" s="253">
        <f t="shared" ref="V10:V20" si="4">(T10*U10)/1000</f>
        <v>0</v>
      </c>
      <c r="W10" s="254">
        <f t="shared" si="1"/>
        <v>1.6666666666666667</v>
      </c>
      <c r="X10" s="255">
        <f t="shared" si="2"/>
        <v>0</v>
      </c>
      <c r="Y10" s="256">
        <f>((S10+J10)/(B10*C10))*100</f>
        <v>1.8444444444444443</v>
      </c>
    </row>
    <row r="11" spans="1:27" customFormat="1">
      <c r="A11" s="222" t="s">
        <v>248</v>
      </c>
      <c r="B11" s="257" t="s">
        <v>483</v>
      </c>
      <c r="C11" s="224">
        <v>179</v>
      </c>
      <c r="D11" s="258">
        <v>0</v>
      </c>
      <c r="E11" s="259">
        <v>0</v>
      </c>
      <c r="F11" s="226">
        <v>0</v>
      </c>
      <c r="G11" s="260">
        <v>0</v>
      </c>
      <c r="H11" s="258">
        <v>0</v>
      </c>
      <c r="I11" s="259">
        <v>0</v>
      </c>
      <c r="J11" s="228">
        <v>0</v>
      </c>
      <c r="K11" s="229">
        <v>0</v>
      </c>
      <c r="L11" s="230">
        <v>3</v>
      </c>
      <c r="M11" s="231">
        <v>0</v>
      </c>
      <c r="N11" s="231">
        <v>3</v>
      </c>
      <c r="O11" s="225">
        <v>2</v>
      </c>
      <c r="P11" s="261">
        <v>33</v>
      </c>
      <c r="Q11" s="259">
        <v>0</v>
      </c>
      <c r="R11" s="233">
        <v>33</v>
      </c>
      <c r="S11" s="224">
        <v>33</v>
      </c>
      <c r="T11" s="234">
        <f>(F11/C11)*100</f>
        <v>0</v>
      </c>
      <c r="U11" s="235">
        <f t="shared" si="3"/>
        <v>0</v>
      </c>
      <c r="V11" s="236">
        <f t="shared" si="4"/>
        <v>0</v>
      </c>
      <c r="W11" s="262">
        <f t="shared" si="1"/>
        <v>1.6759776536312849</v>
      </c>
      <c r="X11" s="263">
        <f t="shared" si="2"/>
        <v>0</v>
      </c>
      <c r="Y11" s="239">
        <f t="shared" ref="Y11:Y21" si="5">((S11+J11)/(B11*C11))*100</f>
        <v>0.73743016759776536</v>
      </c>
    </row>
    <row r="12" spans="1:27" customFormat="1">
      <c r="A12" s="240" t="s">
        <v>250</v>
      </c>
      <c r="B12" s="241" t="s">
        <v>247</v>
      </c>
      <c r="C12" s="242">
        <v>177</v>
      </c>
      <c r="D12" s="243">
        <v>0</v>
      </c>
      <c r="E12" s="244">
        <v>0</v>
      </c>
      <c r="F12" s="244">
        <v>0</v>
      </c>
      <c r="G12" s="242">
        <v>0</v>
      </c>
      <c r="H12" s="243">
        <v>0</v>
      </c>
      <c r="I12" s="244">
        <v>0</v>
      </c>
      <c r="J12" s="245">
        <v>0</v>
      </c>
      <c r="K12" s="246">
        <v>0</v>
      </c>
      <c r="L12" s="247">
        <v>3</v>
      </c>
      <c r="M12" s="248">
        <v>0</v>
      </c>
      <c r="N12" s="248">
        <v>3</v>
      </c>
      <c r="O12" s="243">
        <v>2</v>
      </c>
      <c r="P12" s="249">
        <v>35</v>
      </c>
      <c r="Q12" s="244">
        <v>0</v>
      </c>
      <c r="R12" s="250">
        <v>35</v>
      </c>
      <c r="S12" s="242">
        <v>35</v>
      </c>
      <c r="T12" s="251">
        <v>0</v>
      </c>
      <c r="U12" s="252">
        <v>0</v>
      </c>
      <c r="V12" s="253">
        <f t="shared" si="4"/>
        <v>0</v>
      </c>
      <c r="W12" s="254">
        <f t="shared" si="1"/>
        <v>1.6949152542372881</v>
      </c>
      <c r="X12" s="255">
        <f t="shared" si="2"/>
        <v>0</v>
      </c>
      <c r="Y12" s="256">
        <f t="shared" si="5"/>
        <v>0.82391713747645945</v>
      </c>
    </row>
    <row r="13" spans="1:27" customFormat="1">
      <c r="A13" s="222" t="s">
        <v>251</v>
      </c>
      <c r="B13" s="257" t="s">
        <v>247</v>
      </c>
      <c r="C13" s="242">
        <v>177</v>
      </c>
      <c r="D13" s="258">
        <v>0</v>
      </c>
      <c r="E13" s="259">
        <v>0</v>
      </c>
      <c r="F13" s="226">
        <v>0</v>
      </c>
      <c r="G13" s="260">
        <v>0</v>
      </c>
      <c r="H13" s="258">
        <v>0</v>
      </c>
      <c r="I13" s="259">
        <v>0</v>
      </c>
      <c r="J13" s="228">
        <v>0</v>
      </c>
      <c r="K13" s="229">
        <v>0</v>
      </c>
      <c r="L13" s="230">
        <v>3</v>
      </c>
      <c r="M13" s="264">
        <v>3</v>
      </c>
      <c r="N13" s="264">
        <v>6</v>
      </c>
      <c r="O13" s="225">
        <v>1</v>
      </c>
      <c r="P13" s="261">
        <v>30</v>
      </c>
      <c r="Q13" s="259">
        <v>0</v>
      </c>
      <c r="R13" s="233">
        <v>30</v>
      </c>
      <c r="S13" s="224">
        <v>30</v>
      </c>
      <c r="T13" s="234">
        <f t="shared" ref="T13" si="6">(F13/C13)*100</f>
        <v>0</v>
      </c>
      <c r="U13" s="235">
        <f t="shared" ref="U13" si="7">((J13+K13)/C13)*100</f>
        <v>0</v>
      </c>
      <c r="V13" s="236">
        <f t="shared" si="4"/>
        <v>0</v>
      </c>
      <c r="W13" s="262">
        <f t="shared" si="1"/>
        <v>3.3898305084745761</v>
      </c>
      <c r="X13" s="263">
        <f>(M13/C13)*100</f>
        <v>1.6949152542372881</v>
      </c>
      <c r="Y13" s="239">
        <f t="shared" si="5"/>
        <v>0.70621468926553677</v>
      </c>
    </row>
    <row r="14" spans="1:27" customFormat="1">
      <c r="A14" s="240" t="s">
        <v>252</v>
      </c>
      <c r="B14" s="306" t="s">
        <v>484</v>
      </c>
      <c r="C14" s="307">
        <v>180</v>
      </c>
      <c r="D14" s="308">
        <v>0</v>
      </c>
      <c r="E14" s="309">
        <v>0</v>
      </c>
      <c r="F14" s="309">
        <v>0</v>
      </c>
      <c r="G14" s="307">
        <v>0</v>
      </c>
      <c r="H14" s="308">
        <v>0</v>
      </c>
      <c r="I14" s="309">
        <v>0</v>
      </c>
      <c r="J14" s="310">
        <v>0</v>
      </c>
      <c r="K14" s="311">
        <v>0</v>
      </c>
      <c r="L14" s="312">
        <v>6</v>
      </c>
      <c r="M14" s="313">
        <v>0</v>
      </c>
      <c r="N14" s="313">
        <v>6</v>
      </c>
      <c r="O14" s="308">
        <v>1</v>
      </c>
      <c r="P14" s="314">
        <v>27</v>
      </c>
      <c r="Q14" s="309">
        <v>0</v>
      </c>
      <c r="R14" s="315">
        <v>27</v>
      </c>
      <c r="S14" s="307">
        <v>27</v>
      </c>
      <c r="T14" s="251">
        <f t="shared" si="0"/>
        <v>0</v>
      </c>
      <c r="U14" s="252">
        <f t="shared" si="3"/>
        <v>0</v>
      </c>
      <c r="V14" s="253">
        <f t="shared" si="4"/>
        <v>0</v>
      </c>
      <c r="W14" s="254">
        <f t="shared" si="1"/>
        <v>3.3333333333333335</v>
      </c>
      <c r="X14" s="255">
        <f t="shared" si="2"/>
        <v>0</v>
      </c>
      <c r="Y14" s="256">
        <f t="shared" si="5"/>
        <v>0.65217391304347827</v>
      </c>
    </row>
    <row r="15" spans="1:27" customFormat="1">
      <c r="A15" s="265" t="s">
        <v>253</v>
      </c>
      <c r="B15" s="266" t="s">
        <v>485</v>
      </c>
      <c r="C15" s="224">
        <v>179</v>
      </c>
      <c r="D15" s="258">
        <v>0</v>
      </c>
      <c r="E15" s="259">
        <v>0</v>
      </c>
      <c r="F15" s="226">
        <v>0</v>
      </c>
      <c r="G15" s="260">
        <v>0</v>
      </c>
      <c r="H15" s="258">
        <v>0</v>
      </c>
      <c r="I15" s="259">
        <v>0</v>
      </c>
      <c r="J15" s="228">
        <v>0</v>
      </c>
      <c r="K15" s="229">
        <v>0</v>
      </c>
      <c r="L15" s="230">
        <v>6</v>
      </c>
      <c r="M15" s="231">
        <v>0</v>
      </c>
      <c r="N15" s="264">
        <v>6</v>
      </c>
      <c r="O15" s="225">
        <v>1</v>
      </c>
      <c r="P15" s="261">
        <v>31</v>
      </c>
      <c r="Q15" s="259">
        <v>0</v>
      </c>
      <c r="R15" s="233">
        <v>31</v>
      </c>
      <c r="S15" s="224">
        <v>31</v>
      </c>
      <c r="T15" s="234">
        <f t="shared" si="0"/>
        <v>0</v>
      </c>
      <c r="U15" s="235">
        <f t="shared" si="3"/>
        <v>0</v>
      </c>
      <c r="V15" s="236">
        <f t="shared" si="4"/>
        <v>0</v>
      </c>
      <c r="W15" s="262">
        <f t="shared" si="1"/>
        <v>3.3519553072625698</v>
      </c>
      <c r="X15" s="263">
        <f t="shared" si="2"/>
        <v>0</v>
      </c>
      <c r="Y15" s="239">
        <f t="shared" si="5"/>
        <v>0.66609368285345938</v>
      </c>
    </row>
    <row r="16" spans="1:27" customFormat="1">
      <c r="A16" s="240" t="s">
        <v>254</v>
      </c>
      <c r="B16" s="241" t="s">
        <v>247</v>
      </c>
      <c r="C16" s="242">
        <v>181</v>
      </c>
      <c r="D16" s="243">
        <v>0</v>
      </c>
      <c r="E16" s="244">
        <v>0</v>
      </c>
      <c r="F16" s="244">
        <v>0</v>
      </c>
      <c r="G16" s="242">
        <v>0</v>
      </c>
      <c r="H16" s="243">
        <v>0</v>
      </c>
      <c r="I16" s="244">
        <v>0</v>
      </c>
      <c r="J16" s="245">
        <v>0</v>
      </c>
      <c r="K16" s="246">
        <v>0</v>
      </c>
      <c r="L16" s="247">
        <v>6</v>
      </c>
      <c r="M16" s="248">
        <v>0</v>
      </c>
      <c r="N16" s="248">
        <v>6</v>
      </c>
      <c r="O16" s="243">
        <v>1</v>
      </c>
      <c r="P16" s="249">
        <v>31</v>
      </c>
      <c r="Q16" s="244">
        <v>0</v>
      </c>
      <c r="R16" s="250">
        <v>31</v>
      </c>
      <c r="S16" s="242">
        <v>31</v>
      </c>
      <c r="T16" s="251">
        <f t="shared" si="0"/>
        <v>0</v>
      </c>
      <c r="U16" s="252">
        <f t="shared" si="3"/>
        <v>0</v>
      </c>
      <c r="V16" s="253">
        <f t="shared" si="4"/>
        <v>0</v>
      </c>
      <c r="W16" s="254">
        <f t="shared" si="1"/>
        <v>3.3149171270718232</v>
      </c>
      <c r="X16" s="255">
        <f t="shared" si="2"/>
        <v>0</v>
      </c>
      <c r="Y16" s="256">
        <f t="shared" si="5"/>
        <v>0.71362799263351751</v>
      </c>
      <c r="AA16" s="267"/>
    </row>
    <row r="17" spans="1:26" customFormat="1">
      <c r="A17" s="268" t="s">
        <v>255</v>
      </c>
      <c r="B17" s="257" t="s">
        <v>485</v>
      </c>
      <c r="C17" s="224">
        <v>181</v>
      </c>
      <c r="D17" s="225">
        <v>0</v>
      </c>
      <c r="E17" s="226">
        <v>0</v>
      </c>
      <c r="F17" s="226">
        <v>0</v>
      </c>
      <c r="G17" s="224">
        <v>0</v>
      </c>
      <c r="H17" s="225">
        <v>0</v>
      </c>
      <c r="I17" s="226">
        <v>0</v>
      </c>
      <c r="J17" s="228">
        <v>0</v>
      </c>
      <c r="K17" s="229">
        <v>0</v>
      </c>
      <c r="L17" s="230">
        <v>6</v>
      </c>
      <c r="M17" s="231">
        <v>0</v>
      </c>
      <c r="N17" s="231">
        <v>6</v>
      </c>
      <c r="O17" s="225">
        <v>2</v>
      </c>
      <c r="P17" s="232">
        <v>33</v>
      </c>
      <c r="Q17" s="226">
        <v>0</v>
      </c>
      <c r="R17" s="233">
        <v>33</v>
      </c>
      <c r="S17" s="224">
        <v>33</v>
      </c>
      <c r="T17" s="234">
        <f t="shared" si="0"/>
        <v>0</v>
      </c>
      <c r="U17" s="235">
        <f t="shared" si="3"/>
        <v>0</v>
      </c>
      <c r="V17" s="236">
        <f t="shared" si="4"/>
        <v>0</v>
      </c>
      <c r="W17" s="262">
        <f t="shared" si="1"/>
        <v>3.3149171270718232</v>
      </c>
      <c r="X17" s="263">
        <f t="shared" si="2"/>
        <v>0</v>
      </c>
      <c r="Y17" s="239">
        <f t="shared" si="5"/>
        <v>0.7012324691882702</v>
      </c>
    </row>
    <row r="18" spans="1:26" customFormat="1">
      <c r="A18" s="269" t="s">
        <v>256</v>
      </c>
      <c r="B18" s="241" t="s">
        <v>485</v>
      </c>
      <c r="C18" s="242">
        <v>180</v>
      </c>
      <c r="D18" s="243">
        <v>2</v>
      </c>
      <c r="E18" s="244">
        <v>0</v>
      </c>
      <c r="F18" s="244">
        <v>2</v>
      </c>
      <c r="G18" s="242">
        <v>2</v>
      </c>
      <c r="H18" s="243">
        <v>17</v>
      </c>
      <c r="I18" s="244">
        <v>0</v>
      </c>
      <c r="J18" s="245">
        <v>17</v>
      </c>
      <c r="K18" s="246">
        <v>0</v>
      </c>
      <c r="L18" s="247">
        <v>6</v>
      </c>
      <c r="M18" s="248">
        <v>0</v>
      </c>
      <c r="N18" s="248">
        <v>6</v>
      </c>
      <c r="O18" s="243">
        <v>1</v>
      </c>
      <c r="P18" s="249">
        <v>28</v>
      </c>
      <c r="Q18" s="244">
        <v>0</v>
      </c>
      <c r="R18" s="250">
        <v>28</v>
      </c>
      <c r="S18" s="242">
        <v>45</v>
      </c>
      <c r="T18" s="251">
        <f t="shared" si="0"/>
        <v>1.1111111111111112</v>
      </c>
      <c r="U18" s="252">
        <f t="shared" si="3"/>
        <v>9.4444444444444446</v>
      </c>
      <c r="V18" s="253">
        <f t="shared" si="4"/>
        <v>1.0493827160493827E-2</v>
      </c>
      <c r="W18" s="254">
        <f t="shared" si="1"/>
        <v>3.3333333333333335</v>
      </c>
      <c r="X18" s="255">
        <f t="shared" si="2"/>
        <v>0</v>
      </c>
      <c r="Y18" s="256">
        <f t="shared" si="5"/>
        <v>1.3247863247863247</v>
      </c>
    </row>
    <row r="19" spans="1:26" customFormat="1">
      <c r="A19" s="268" t="s">
        <v>257</v>
      </c>
      <c r="B19" s="257" t="s">
        <v>484</v>
      </c>
      <c r="C19" s="224">
        <v>180</v>
      </c>
      <c r="D19" s="225">
        <v>1</v>
      </c>
      <c r="E19" s="226">
        <v>0</v>
      </c>
      <c r="F19" s="226">
        <v>1</v>
      </c>
      <c r="G19" s="224">
        <v>1</v>
      </c>
      <c r="H19" s="225">
        <v>2</v>
      </c>
      <c r="I19" s="226">
        <v>0</v>
      </c>
      <c r="J19" s="228">
        <v>2</v>
      </c>
      <c r="K19" s="229">
        <v>0</v>
      </c>
      <c r="L19" s="230">
        <v>6</v>
      </c>
      <c r="M19" s="231">
        <v>0</v>
      </c>
      <c r="N19" s="231">
        <v>6</v>
      </c>
      <c r="O19" s="225">
        <v>2</v>
      </c>
      <c r="P19" s="232">
        <v>19</v>
      </c>
      <c r="Q19" s="226">
        <v>0</v>
      </c>
      <c r="R19" s="233">
        <v>19</v>
      </c>
      <c r="S19" s="224">
        <v>21</v>
      </c>
      <c r="T19" s="234">
        <f t="shared" si="0"/>
        <v>0.55555555555555558</v>
      </c>
      <c r="U19" s="235">
        <f t="shared" si="3"/>
        <v>1.1111111111111112</v>
      </c>
      <c r="V19" s="236">
        <f t="shared" si="4"/>
        <v>6.1728395061728405E-4</v>
      </c>
      <c r="W19" s="262">
        <f t="shared" si="1"/>
        <v>3.3333333333333335</v>
      </c>
      <c r="X19" s="263">
        <f t="shared" si="2"/>
        <v>0</v>
      </c>
      <c r="Y19" s="239">
        <f t="shared" si="5"/>
        <v>0.55555555555555558</v>
      </c>
    </row>
    <row r="20" spans="1:26" customFormat="1" ht="15.75" thickBot="1">
      <c r="A20" s="270" t="s">
        <v>258</v>
      </c>
      <c r="B20" s="271" t="s">
        <v>483</v>
      </c>
      <c r="C20" s="272">
        <v>180</v>
      </c>
      <c r="D20" s="273">
        <v>1</v>
      </c>
      <c r="E20" s="274">
        <v>0</v>
      </c>
      <c r="F20" s="274">
        <v>1</v>
      </c>
      <c r="G20" s="275">
        <v>0</v>
      </c>
      <c r="H20" s="273">
        <v>0</v>
      </c>
      <c r="I20" s="274">
        <v>0</v>
      </c>
      <c r="J20" s="276">
        <v>0</v>
      </c>
      <c r="K20" s="277">
        <v>0</v>
      </c>
      <c r="L20" s="278">
        <v>6</v>
      </c>
      <c r="M20" s="279">
        <v>0</v>
      </c>
      <c r="N20" s="279">
        <v>6</v>
      </c>
      <c r="O20" s="273">
        <v>2</v>
      </c>
      <c r="P20" s="280">
        <v>23</v>
      </c>
      <c r="Q20" s="274">
        <v>0</v>
      </c>
      <c r="R20" s="281">
        <v>23</v>
      </c>
      <c r="S20" s="272">
        <v>23</v>
      </c>
      <c r="T20" s="282">
        <f t="shared" si="0"/>
        <v>0.55555555555555558</v>
      </c>
      <c r="U20" s="283">
        <f t="shared" si="3"/>
        <v>0</v>
      </c>
      <c r="V20" s="284">
        <f t="shared" si="4"/>
        <v>0</v>
      </c>
      <c r="W20" s="285">
        <f t="shared" si="1"/>
        <v>3.3333333333333335</v>
      </c>
      <c r="X20" s="286">
        <f t="shared" si="2"/>
        <v>0</v>
      </c>
      <c r="Y20" s="287">
        <f t="shared" si="5"/>
        <v>0.51111111111111118</v>
      </c>
    </row>
    <row r="21" spans="1:26" s="331" customFormat="1" ht="15.75" thickBot="1">
      <c r="A21" s="316" t="s">
        <v>458</v>
      </c>
      <c r="B21" s="317">
        <f>B9+B10+B11+B12+B13+B14+B15+B16+B17+B18+B19+B20</f>
        <v>296</v>
      </c>
      <c r="C21" s="318">
        <f>AVERAGE(C9:C20)</f>
        <v>179.58333333333334</v>
      </c>
      <c r="D21" s="319">
        <f t="shared" ref="D21:I21" si="8">SUM(D9:D20)</f>
        <v>5</v>
      </c>
      <c r="E21" s="320">
        <f t="shared" si="8"/>
        <v>0</v>
      </c>
      <c r="F21" s="320">
        <f t="shared" si="8"/>
        <v>5</v>
      </c>
      <c r="G21" s="318">
        <f t="shared" si="8"/>
        <v>4</v>
      </c>
      <c r="H21" s="319">
        <f t="shared" si="8"/>
        <v>24</v>
      </c>
      <c r="I21" s="320">
        <f t="shared" si="8"/>
        <v>2</v>
      </c>
      <c r="J21" s="318">
        <f t="shared" ref="J21" si="9">H21+I21</f>
        <v>26</v>
      </c>
      <c r="K21" s="321">
        <f>SUM(K9:K20)</f>
        <v>0</v>
      </c>
      <c r="L21" s="322"/>
      <c r="M21" s="320">
        <f>SUM(M9:M20)</f>
        <v>3</v>
      </c>
      <c r="N21" s="323">
        <v>5</v>
      </c>
      <c r="O21" s="319"/>
      <c r="P21" s="324"/>
      <c r="Q21" s="320"/>
      <c r="R21" s="321">
        <f t="shared" ref="R21" si="10">P21+Q21</f>
        <v>0</v>
      </c>
      <c r="S21" s="318">
        <f>SUM(S9:S20)</f>
        <v>445</v>
      </c>
      <c r="T21" s="325">
        <f t="shared" si="0"/>
        <v>2.7842227378190252</v>
      </c>
      <c r="U21" s="326">
        <f t="shared" si="3"/>
        <v>14.477958236658933</v>
      </c>
      <c r="V21" s="327">
        <f>(E21/F21)*100</f>
        <v>0</v>
      </c>
      <c r="W21" s="328">
        <f t="shared" si="1"/>
        <v>2.7842227378190252</v>
      </c>
      <c r="X21" s="329">
        <f t="shared" si="2"/>
        <v>1.670533642691415</v>
      </c>
      <c r="Y21" s="330">
        <f t="shared" si="5"/>
        <v>0.88606007399510878</v>
      </c>
    </row>
    <row r="22" spans="1:26">
      <c r="W22" s="332"/>
    </row>
    <row r="23" spans="1:26" ht="15.75" thickBot="1"/>
    <row r="24" spans="1:26" ht="34.15" customHeight="1" thickBot="1">
      <c r="A24" s="1059" t="s">
        <v>260</v>
      </c>
      <c r="B24" s="1060"/>
      <c r="C24" s="1060"/>
      <c r="D24" s="1060"/>
      <c r="E24" s="1060"/>
      <c r="F24" s="1060"/>
      <c r="G24" s="1060"/>
      <c r="H24" s="1060"/>
      <c r="I24" s="1061"/>
      <c r="T24" s="333" t="s">
        <v>261</v>
      </c>
      <c r="U24" s="334" t="s">
        <v>262</v>
      </c>
      <c r="V24" s="335" t="s">
        <v>263</v>
      </c>
      <c r="W24" s="335"/>
      <c r="X24" s="336" t="s">
        <v>264</v>
      </c>
      <c r="Y24" s="337" t="s">
        <v>265</v>
      </c>
    </row>
    <row r="25" spans="1:26" ht="27.75" customHeight="1">
      <c r="A25" s="1062" t="s">
        <v>266</v>
      </c>
      <c r="B25" s="1063"/>
      <c r="C25" s="1063"/>
      <c r="D25" s="1063"/>
      <c r="E25" s="1063"/>
      <c r="F25" s="1063"/>
      <c r="G25" s="1063"/>
      <c r="H25" s="1063"/>
      <c r="I25" s="1064"/>
      <c r="J25" s="62"/>
      <c r="K25" s="62"/>
      <c r="L25" s="62"/>
      <c r="M25" s="62"/>
      <c r="N25" s="62"/>
      <c r="O25" s="1065" t="s">
        <v>267</v>
      </c>
      <c r="P25" s="1065"/>
      <c r="Q25" s="1066" t="s">
        <v>268</v>
      </c>
      <c r="R25" s="1066"/>
      <c r="T25" s="63" t="s">
        <v>269</v>
      </c>
      <c r="U25" s="64">
        <v>0</v>
      </c>
      <c r="V25" s="65" t="s">
        <v>270</v>
      </c>
      <c r="W25" s="65" t="s">
        <v>270</v>
      </c>
      <c r="X25" s="66"/>
      <c r="Y25" s="67"/>
      <c r="Z25" s="338"/>
    </row>
    <row r="26" spans="1:26" ht="27.75" customHeight="1">
      <c r="A26" s="1067" t="s">
        <v>271</v>
      </c>
      <c r="B26" s="1067"/>
      <c r="C26" s="1067"/>
      <c r="D26" s="1067"/>
      <c r="E26" s="1067"/>
      <c r="F26" s="1067"/>
      <c r="G26" s="1067"/>
      <c r="H26" s="1067"/>
      <c r="I26" s="1067"/>
      <c r="J26" s="62"/>
      <c r="K26" s="62"/>
      <c r="L26" s="62"/>
      <c r="M26" s="62"/>
      <c r="N26" s="62"/>
      <c r="O26" s="1068" t="s">
        <v>272</v>
      </c>
      <c r="P26" s="1068"/>
      <c r="Q26" s="1069" t="s">
        <v>273</v>
      </c>
      <c r="R26" s="1069"/>
      <c r="S26" s="68"/>
      <c r="T26" s="69" t="s">
        <v>274</v>
      </c>
      <c r="U26" s="70">
        <v>3</v>
      </c>
      <c r="V26" s="71" t="s">
        <v>275</v>
      </c>
      <c r="W26" s="71" t="s">
        <v>276</v>
      </c>
      <c r="X26" s="72" t="s">
        <v>277</v>
      </c>
      <c r="Y26" s="73">
        <f>6000*13.3%</f>
        <v>798</v>
      </c>
      <c r="Z26" s="74"/>
    </row>
    <row r="27" spans="1:26" ht="27.75" customHeight="1">
      <c r="A27" s="1067"/>
      <c r="B27" s="1067"/>
      <c r="C27" s="1067"/>
      <c r="D27" s="1067"/>
      <c r="E27" s="1067"/>
      <c r="F27" s="1067"/>
      <c r="G27" s="1067"/>
      <c r="H27" s="1067"/>
      <c r="I27" s="1067"/>
      <c r="J27" s="62"/>
      <c r="K27" s="62"/>
      <c r="L27" s="62"/>
      <c r="M27" s="62"/>
      <c r="N27" s="62"/>
      <c r="O27" s="1068" t="s">
        <v>278</v>
      </c>
      <c r="P27" s="1068"/>
      <c r="Q27" s="1070" t="s">
        <v>279</v>
      </c>
      <c r="R27" s="1070"/>
      <c r="T27" s="69" t="s">
        <v>280</v>
      </c>
      <c r="U27" s="70">
        <v>0</v>
      </c>
      <c r="V27" s="71" t="s">
        <v>270</v>
      </c>
      <c r="W27" s="71" t="s">
        <v>270</v>
      </c>
      <c r="X27" s="72"/>
      <c r="Y27" s="339"/>
    </row>
    <row r="28" spans="1:26" ht="27" customHeight="1" thickBot="1">
      <c r="A28" s="1071" t="s">
        <v>281</v>
      </c>
      <c r="B28" s="1072"/>
      <c r="C28" s="1072"/>
      <c r="D28" s="1072"/>
      <c r="E28" s="1072"/>
      <c r="F28" s="1072"/>
      <c r="G28" s="1072"/>
      <c r="H28" s="1072"/>
      <c r="I28" s="1073"/>
      <c r="J28" s="62"/>
      <c r="K28" s="62"/>
      <c r="L28" s="62"/>
      <c r="M28" s="62"/>
      <c r="N28" s="62"/>
      <c r="O28" s="1068" t="s">
        <v>282</v>
      </c>
      <c r="P28" s="1068"/>
      <c r="Q28" s="1069"/>
      <c r="R28" s="1069"/>
      <c r="S28" s="68"/>
      <c r="T28" s="75" t="s">
        <v>283</v>
      </c>
      <c r="U28" s="76">
        <v>3</v>
      </c>
      <c r="V28" s="77" t="s">
        <v>284</v>
      </c>
      <c r="W28" s="77" t="s">
        <v>285</v>
      </c>
      <c r="X28" s="78" t="s">
        <v>286</v>
      </c>
      <c r="Y28" s="340"/>
    </row>
    <row r="29" spans="1:26" ht="25.9" customHeight="1">
      <c r="A29" s="1067" t="s">
        <v>287</v>
      </c>
      <c r="B29" s="1067"/>
      <c r="C29" s="1067"/>
      <c r="D29" s="1067"/>
      <c r="E29" s="1067"/>
      <c r="F29" s="1067"/>
      <c r="G29" s="1067"/>
      <c r="H29" s="1067"/>
      <c r="I29" s="1067"/>
      <c r="J29" s="1074" t="s">
        <v>288</v>
      </c>
      <c r="K29" s="1074"/>
      <c r="L29" s="1074"/>
      <c r="M29" s="1074"/>
      <c r="N29" s="1074"/>
      <c r="O29" s="1068" t="s">
        <v>289</v>
      </c>
      <c r="P29" s="1068"/>
      <c r="Q29" s="1075" t="s">
        <v>290</v>
      </c>
      <c r="R29" s="1076"/>
      <c r="S29" s="79"/>
      <c r="T29" s="79"/>
      <c r="U29" s="79"/>
      <c r="V29" s="79"/>
      <c r="W29" s="79"/>
      <c r="X29" s="79"/>
    </row>
    <row r="30" spans="1:26" ht="14.45" customHeight="1">
      <c r="A30" s="1067" t="s">
        <v>291</v>
      </c>
      <c r="B30" s="1067"/>
      <c r="C30" s="1067"/>
      <c r="D30" s="1067"/>
      <c r="E30" s="1067"/>
      <c r="F30" s="1067"/>
      <c r="G30" s="1067"/>
      <c r="H30" s="1067"/>
      <c r="I30" s="1067"/>
      <c r="J30" s="80"/>
      <c r="K30" s="80"/>
      <c r="L30" s="80"/>
      <c r="M30" s="80"/>
      <c r="N30" s="80"/>
      <c r="O30" s="1077" t="s">
        <v>292</v>
      </c>
      <c r="P30" s="1078"/>
      <c r="Q30" s="1078"/>
      <c r="R30" s="1079"/>
      <c r="S30" s="79"/>
      <c r="T30" s="79"/>
      <c r="U30" s="79"/>
      <c r="V30" s="79"/>
      <c r="W30" s="79"/>
      <c r="X30" s="79"/>
    </row>
    <row r="31" spans="1:26" ht="30" customHeight="1">
      <c r="A31" s="1067" t="s">
        <v>293</v>
      </c>
      <c r="B31" s="1067"/>
      <c r="C31" s="1067"/>
      <c r="D31" s="1067"/>
      <c r="E31" s="1067"/>
      <c r="F31" s="1067"/>
      <c r="G31" s="1067"/>
      <c r="H31" s="1067"/>
      <c r="I31" s="1067"/>
      <c r="J31" s="1083" t="s">
        <v>294</v>
      </c>
      <c r="K31" s="1083"/>
      <c r="L31" s="1083"/>
      <c r="M31" s="1083"/>
      <c r="N31" s="1083"/>
      <c r="O31" s="1080"/>
      <c r="P31" s="1081"/>
      <c r="Q31" s="1081"/>
      <c r="R31" s="1082"/>
      <c r="S31" s="80"/>
      <c r="T31" s="80"/>
      <c r="U31" s="80"/>
      <c r="V31" s="80"/>
      <c r="W31" s="80"/>
      <c r="X31" s="80"/>
    </row>
    <row r="34" spans="1:25">
      <c r="A34" s="1084" t="s">
        <v>295</v>
      </c>
      <c r="B34" s="1085"/>
      <c r="C34" s="1085"/>
      <c r="D34" s="1085"/>
      <c r="E34" s="1085"/>
      <c r="F34" s="1085"/>
      <c r="G34" s="1085"/>
      <c r="H34" s="1085"/>
      <c r="I34" s="1085"/>
      <c r="J34" s="1085"/>
      <c r="K34" s="1085"/>
      <c r="L34" s="1085"/>
      <c r="M34" s="1085"/>
      <c r="N34" s="1085"/>
      <c r="O34" s="1085"/>
      <c r="P34" s="1085"/>
      <c r="Q34" s="1085"/>
      <c r="R34" s="1085"/>
      <c r="S34" s="1085"/>
      <c r="T34" s="1085"/>
      <c r="U34" s="1085"/>
      <c r="V34" s="1085"/>
      <c r="W34" s="1085"/>
      <c r="X34" s="1085"/>
      <c r="Y34" s="1085"/>
    </row>
  </sheetData>
  <mergeCells count="30">
    <mergeCell ref="A30:I30"/>
    <mergeCell ref="O30:R31"/>
    <mergeCell ref="A31:I31"/>
    <mergeCell ref="J31:N31"/>
    <mergeCell ref="A34:Y34"/>
    <mergeCell ref="A28:I28"/>
    <mergeCell ref="O28:P28"/>
    <mergeCell ref="Q28:R28"/>
    <mergeCell ref="A29:I29"/>
    <mergeCell ref="J29:N29"/>
    <mergeCell ref="O29:P29"/>
    <mergeCell ref="Q29:R29"/>
    <mergeCell ref="A24:I24"/>
    <mergeCell ref="A25:I25"/>
    <mergeCell ref="O25:P25"/>
    <mergeCell ref="Q25:R25"/>
    <mergeCell ref="A26:I27"/>
    <mergeCell ref="O26:P26"/>
    <mergeCell ref="Q26:R26"/>
    <mergeCell ref="O27:P27"/>
    <mergeCell ref="Q27:R27"/>
    <mergeCell ref="A1:C3"/>
    <mergeCell ref="D1:W2"/>
    <mergeCell ref="D3:W3"/>
    <mergeCell ref="D7:G7"/>
    <mergeCell ref="H7:K7"/>
    <mergeCell ref="L7:N7"/>
    <mergeCell ref="O7:R7"/>
    <mergeCell ref="T7:V7"/>
    <mergeCell ref="W7:X7"/>
  </mergeCells>
  <pageMargins left="0.11811023622047245" right="0.11811023622047245" top="0.74803149606299213" bottom="0.74803149606299213" header="0.31496062992125984" footer="0.31496062992125984"/>
  <pageSetup paperSize="7" scale="35" orientation="landscape" horizontalDpi="4294967293"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4"/>
  <sheetViews>
    <sheetView tabSelected="1" view="pageBreakPreview" zoomScale="70" zoomScaleNormal="70" zoomScaleSheetLayoutView="70" workbookViewId="0">
      <selection activeCell="S37" sqref="S37"/>
    </sheetView>
  </sheetViews>
  <sheetFormatPr baseColWidth="10" defaultRowHeight="15"/>
  <cols>
    <col min="1" max="1" width="17.5" style="352" customWidth="1"/>
    <col min="2" max="2" width="8" style="352" customWidth="1"/>
    <col min="3" max="3" width="10.875" style="352" customWidth="1"/>
    <col min="4" max="5" width="11.625" style="352" customWidth="1"/>
    <col min="6" max="6" width="10" style="352" customWidth="1"/>
    <col min="7" max="7" width="10.875" style="352" customWidth="1"/>
    <col min="8" max="8" width="13.25" style="352" customWidth="1"/>
    <col min="9" max="9" width="11.375" style="352" customWidth="1"/>
    <col min="10" max="12" width="13.25" style="352" customWidth="1"/>
    <col min="13" max="13" width="12.125" style="352" customWidth="1"/>
    <col min="14" max="14" width="10.625" style="352" customWidth="1"/>
    <col min="15" max="15" width="13.375" style="352" customWidth="1"/>
    <col min="16" max="16" width="13.25" style="352" customWidth="1"/>
    <col min="17" max="17" width="11.375" style="352" customWidth="1"/>
    <col min="18" max="18" width="13.25" style="352" customWidth="1"/>
    <col min="19" max="19" width="13.125" style="352" customWidth="1"/>
    <col min="20" max="20" width="13.5" style="352" customWidth="1"/>
    <col min="21" max="21" width="14.75" style="352" customWidth="1"/>
    <col min="22" max="22" width="17.375" style="352" customWidth="1"/>
    <col min="23" max="23" width="16.875" style="352" customWidth="1"/>
    <col min="24" max="24" width="13.75" style="352" customWidth="1"/>
    <col min="25" max="25" width="14.5" style="352" customWidth="1"/>
    <col min="26" max="16384" width="11" style="352"/>
  </cols>
  <sheetData>
    <row r="1" spans="1:27" s="343" customFormat="1" ht="23.25" customHeight="1">
      <c r="A1" s="1086"/>
      <c r="B1" s="1087"/>
      <c r="C1" s="1087"/>
      <c r="D1" s="1092" t="s">
        <v>208</v>
      </c>
      <c r="E1" s="1093"/>
      <c r="F1" s="1093"/>
      <c r="G1" s="1093"/>
      <c r="H1" s="1093"/>
      <c r="I1" s="1093"/>
      <c r="J1" s="1093"/>
      <c r="K1" s="1093"/>
      <c r="L1" s="1093"/>
      <c r="M1" s="1093"/>
      <c r="N1" s="1093"/>
      <c r="O1" s="1093"/>
      <c r="P1" s="1093"/>
      <c r="Q1" s="1093"/>
      <c r="R1" s="1093"/>
      <c r="S1" s="1093"/>
      <c r="T1" s="1093"/>
      <c r="U1" s="1093"/>
      <c r="V1" s="1093"/>
      <c r="W1" s="1094"/>
      <c r="X1" s="341" t="s">
        <v>209</v>
      </c>
      <c r="Y1" s="342" t="s">
        <v>210</v>
      </c>
    </row>
    <row r="2" spans="1:27" s="343" customFormat="1" ht="23.25" customHeight="1">
      <c r="A2" s="1088"/>
      <c r="B2" s="1089"/>
      <c r="C2" s="1089"/>
      <c r="D2" s="1095"/>
      <c r="E2" s="1096"/>
      <c r="F2" s="1096"/>
      <c r="G2" s="1096"/>
      <c r="H2" s="1096"/>
      <c r="I2" s="1096"/>
      <c r="J2" s="1096"/>
      <c r="K2" s="1096"/>
      <c r="L2" s="1096"/>
      <c r="M2" s="1096"/>
      <c r="N2" s="1096"/>
      <c r="O2" s="1096"/>
      <c r="P2" s="1096"/>
      <c r="Q2" s="1096"/>
      <c r="R2" s="1096"/>
      <c r="S2" s="1096"/>
      <c r="T2" s="1096"/>
      <c r="U2" s="1096"/>
      <c r="V2" s="1096"/>
      <c r="W2" s="1097"/>
      <c r="X2" s="344" t="s">
        <v>211</v>
      </c>
      <c r="Y2" s="345">
        <v>1</v>
      </c>
    </row>
    <row r="3" spans="1:27" s="343" customFormat="1" ht="18.75" customHeight="1" thickBot="1">
      <c r="A3" s="1090"/>
      <c r="B3" s="1091"/>
      <c r="C3" s="1091"/>
      <c r="D3" s="1098" t="s">
        <v>212</v>
      </c>
      <c r="E3" s="1099"/>
      <c r="F3" s="1099"/>
      <c r="G3" s="1099"/>
      <c r="H3" s="1099"/>
      <c r="I3" s="1099"/>
      <c r="J3" s="1099"/>
      <c r="K3" s="1099"/>
      <c r="L3" s="1099"/>
      <c r="M3" s="1099"/>
      <c r="N3" s="1099"/>
      <c r="O3" s="1099"/>
      <c r="P3" s="1099"/>
      <c r="Q3" s="1099"/>
      <c r="R3" s="1099"/>
      <c r="S3" s="1099"/>
      <c r="T3" s="1099"/>
      <c r="U3" s="1099"/>
      <c r="V3" s="1099"/>
      <c r="W3" s="1100"/>
      <c r="X3" s="346" t="s">
        <v>213</v>
      </c>
      <c r="Y3" s="347" t="s">
        <v>214</v>
      </c>
    </row>
    <row r="4" spans="1:27" s="343" customFormat="1" ht="18.75" customHeight="1">
      <c r="A4" s="348"/>
      <c r="B4" s="348"/>
      <c r="C4" s="348"/>
      <c r="D4" s="349"/>
      <c r="E4" s="349"/>
      <c r="F4" s="349"/>
      <c r="G4" s="349"/>
      <c r="H4" s="349"/>
      <c r="I4" s="349"/>
      <c r="J4" s="349"/>
      <c r="K4" s="349"/>
      <c r="L4" s="349"/>
      <c r="M4" s="349"/>
      <c r="N4" s="349"/>
      <c r="O4" s="349"/>
      <c r="P4" s="349"/>
      <c r="Q4" s="349"/>
      <c r="R4" s="349"/>
      <c r="S4" s="349"/>
      <c r="T4" s="349"/>
      <c r="U4" s="349"/>
      <c r="V4" s="349"/>
      <c r="W4" s="349"/>
      <c r="X4" s="350"/>
      <c r="Y4" s="351"/>
    </row>
    <row r="5" spans="1:27" s="343" customFormat="1" ht="18.75" customHeight="1">
      <c r="A5" s="348"/>
      <c r="B5" s="348"/>
      <c r="C5" s="348"/>
      <c r="D5" s="349"/>
      <c r="E5" s="349"/>
      <c r="F5" s="349"/>
      <c r="G5" s="349"/>
      <c r="H5" s="349"/>
      <c r="I5" s="349"/>
      <c r="J5" s="349"/>
      <c r="K5" s="349"/>
      <c r="L5" s="349"/>
      <c r="M5" s="349"/>
      <c r="N5" s="349"/>
      <c r="O5" s="349"/>
      <c r="P5" s="349"/>
      <c r="Q5" s="349"/>
      <c r="R5" s="349"/>
      <c r="S5" s="349"/>
      <c r="T5" s="349"/>
      <c r="U5" s="349"/>
      <c r="V5" s="349"/>
      <c r="W5" s="349"/>
      <c r="X5" s="350"/>
      <c r="Y5" s="351"/>
    </row>
    <row r="6" spans="1:27" ht="15.75" thickBot="1"/>
    <row r="7" spans="1:27" s="353" customFormat="1" ht="15" customHeight="1" thickBot="1">
      <c r="D7" s="1101" t="s">
        <v>215</v>
      </c>
      <c r="E7" s="1102"/>
      <c r="F7" s="1102"/>
      <c r="G7" s="1102"/>
      <c r="H7" s="1103" t="s">
        <v>216</v>
      </c>
      <c r="I7" s="1104"/>
      <c r="J7" s="1104"/>
      <c r="K7" s="1105"/>
      <c r="L7" s="1106" t="s">
        <v>217</v>
      </c>
      <c r="M7" s="1107"/>
      <c r="N7" s="1107"/>
      <c r="O7" s="1108" t="s">
        <v>218</v>
      </c>
      <c r="P7" s="1109"/>
      <c r="Q7" s="1109"/>
      <c r="R7" s="1110"/>
      <c r="T7" s="1111" t="s">
        <v>219</v>
      </c>
      <c r="U7" s="1112"/>
      <c r="V7" s="1113"/>
      <c r="W7" s="1114" t="s">
        <v>220</v>
      </c>
      <c r="X7" s="1115"/>
      <c r="Y7" s="354" t="s">
        <v>221</v>
      </c>
    </row>
    <row r="8" spans="1:27" s="377" customFormat="1" ht="77.45" customHeight="1">
      <c r="A8" s="355" t="s">
        <v>222</v>
      </c>
      <c r="B8" s="356" t="s">
        <v>223</v>
      </c>
      <c r="C8" s="357" t="s">
        <v>224</v>
      </c>
      <c r="D8" s="358" t="s">
        <v>225</v>
      </c>
      <c r="E8" s="359" t="s">
        <v>226</v>
      </c>
      <c r="F8" s="360" t="s">
        <v>227</v>
      </c>
      <c r="G8" s="361" t="s">
        <v>228</v>
      </c>
      <c r="H8" s="362" t="s">
        <v>229</v>
      </c>
      <c r="I8" s="363" t="s">
        <v>230</v>
      </c>
      <c r="J8" s="364" t="s">
        <v>231</v>
      </c>
      <c r="K8" s="365" t="s">
        <v>232</v>
      </c>
      <c r="L8" s="366" t="s">
        <v>233</v>
      </c>
      <c r="M8" s="367" t="s">
        <v>234</v>
      </c>
      <c r="N8" s="367" t="s">
        <v>235</v>
      </c>
      <c r="O8" s="368" t="s">
        <v>236</v>
      </c>
      <c r="P8" s="369" t="s">
        <v>229</v>
      </c>
      <c r="Q8" s="370" t="s">
        <v>230</v>
      </c>
      <c r="R8" s="371" t="s">
        <v>231</v>
      </c>
      <c r="S8" s="372" t="s">
        <v>237</v>
      </c>
      <c r="T8" s="358" t="s">
        <v>238</v>
      </c>
      <c r="U8" s="359" t="s">
        <v>239</v>
      </c>
      <c r="V8" s="373" t="s">
        <v>240</v>
      </c>
      <c r="W8" s="374" t="s">
        <v>241</v>
      </c>
      <c r="X8" s="375" t="s">
        <v>242</v>
      </c>
      <c r="Y8" s="376" t="s">
        <v>243</v>
      </c>
    </row>
    <row r="9" spans="1:27">
      <c r="A9" s="378" t="s">
        <v>244</v>
      </c>
      <c r="B9" s="379" t="s">
        <v>245</v>
      </c>
      <c r="C9" s="380">
        <v>162</v>
      </c>
      <c r="D9" s="381">
        <v>0</v>
      </c>
      <c r="E9" s="382">
        <v>0</v>
      </c>
      <c r="F9" s="382">
        <v>0</v>
      </c>
      <c r="G9" s="383">
        <v>0</v>
      </c>
      <c r="H9" s="381">
        <v>0</v>
      </c>
      <c r="I9" s="382">
        <v>0</v>
      </c>
      <c r="J9" s="384">
        <v>0</v>
      </c>
      <c r="K9" s="385">
        <v>0</v>
      </c>
      <c r="L9" s="386">
        <v>6</v>
      </c>
      <c r="M9" s="387">
        <v>0</v>
      </c>
      <c r="N9" s="387">
        <v>6</v>
      </c>
      <c r="O9" s="381">
        <v>1</v>
      </c>
      <c r="P9" s="388">
        <v>18</v>
      </c>
      <c r="Q9" s="382">
        <v>2</v>
      </c>
      <c r="R9" s="389">
        <v>20</v>
      </c>
      <c r="S9" s="380">
        <v>20</v>
      </c>
      <c r="T9" s="390">
        <f t="shared" ref="T9:T21" si="0">(F9/C9)*100</f>
        <v>0</v>
      </c>
      <c r="U9" s="391">
        <f>((J9+K9)/C9)*100</f>
        <v>0</v>
      </c>
      <c r="V9" s="392" t="e">
        <f>(E9/F9)*100</f>
        <v>#DIV/0!</v>
      </c>
      <c r="W9" s="393">
        <f t="shared" ref="W9:W21" si="1">(N9/C9)*100</f>
        <v>3.7037037037037033</v>
      </c>
      <c r="X9" s="394">
        <f t="shared" ref="X9:X21" si="2">(M9/C9)*100</f>
        <v>0</v>
      </c>
      <c r="Y9" s="395">
        <f>((S9+J9)/(B9*C9))*100</f>
        <v>0.45724737082761779</v>
      </c>
    </row>
    <row r="10" spans="1:27">
      <c r="A10" s="396" t="s">
        <v>246</v>
      </c>
      <c r="B10" s="397" t="s">
        <v>247</v>
      </c>
      <c r="C10" s="398">
        <v>171</v>
      </c>
      <c r="D10" s="399">
        <v>0</v>
      </c>
      <c r="E10" s="400">
        <v>0</v>
      </c>
      <c r="F10" s="400">
        <v>0</v>
      </c>
      <c r="G10" s="398">
        <v>0</v>
      </c>
      <c r="H10" s="399">
        <v>0</v>
      </c>
      <c r="I10" s="400">
        <v>0</v>
      </c>
      <c r="J10" s="401">
        <v>0</v>
      </c>
      <c r="K10" s="402">
        <v>0</v>
      </c>
      <c r="L10" s="403">
        <v>0</v>
      </c>
      <c r="M10" s="404">
        <v>0</v>
      </c>
      <c r="N10" s="404">
        <v>0</v>
      </c>
      <c r="O10" s="399">
        <v>1</v>
      </c>
      <c r="P10" s="405">
        <v>2</v>
      </c>
      <c r="Q10" s="400">
        <v>0</v>
      </c>
      <c r="R10" s="406">
        <v>2</v>
      </c>
      <c r="S10" s="398">
        <v>2</v>
      </c>
      <c r="T10" s="407">
        <f t="shared" si="0"/>
        <v>0</v>
      </c>
      <c r="U10" s="408">
        <f t="shared" ref="U10:U21" si="3">((J10+K10)/C10)*100</f>
        <v>0</v>
      </c>
      <c r="V10" s="409">
        <f t="shared" ref="V10:V20" si="4">(T10*U10)/1000</f>
        <v>0</v>
      </c>
      <c r="W10" s="410">
        <f t="shared" si="1"/>
        <v>0</v>
      </c>
      <c r="X10" s="411">
        <f t="shared" si="2"/>
        <v>0</v>
      </c>
      <c r="Y10" s="412">
        <f>((S10+J10)/(B10*C10))*100</f>
        <v>4.8732943469785572E-2</v>
      </c>
    </row>
    <row r="11" spans="1:27">
      <c r="A11" s="378" t="s">
        <v>248</v>
      </c>
      <c r="B11" s="413" t="s">
        <v>249</v>
      </c>
      <c r="C11" s="380">
        <v>171</v>
      </c>
      <c r="D11" s="414">
        <v>0</v>
      </c>
      <c r="E11" s="415">
        <v>0</v>
      </c>
      <c r="F11" s="382">
        <v>1</v>
      </c>
      <c r="G11" s="416">
        <v>1</v>
      </c>
      <c r="H11" s="414">
        <v>1</v>
      </c>
      <c r="I11" s="415">
        <v>7</v>
      </c>
      <c r="J11" s="384">
        <v>7</v>
      </c>
      <c r="K11" s="385">
        <v>0</v>
      </c>
      <c r="L11" s="386">
        <v>0</v>
      </c>
      <c r="M11" s="387">
        <v>0</v>
      </c>
      <c r="N11" s="387">
        <v>0</v>
      </c>
      <c r="O11" s="381">
        <v>2</v>
      </c>
      <c r="P11" s="417">
        <v>13</v>
      </c>
      <c r="Q11" s="415">
        <v>0</v>
      </c>
      <c r="R11" s="389">
        <v>13</v>
      </c>
      <c r="S11" s="380">
        <v>13</v>
      </c>
      <c r="T11" s="390">
        <f>(F11/C11)*100</f>
        <v>0.58479532163742687</v>
      </c>
      <c r="U11" s="391">
        <f>((J11+K11)/C11)*100</f>
        <v>4.0935672514619883</v>
      </c>
      <c r="V11" s="392">
        <f t="shared" si="4"/>
        <v>2.393898977463151E-3</v>
      </c>
      <c r="W11" s="418">
        <f t="shared" si="1"/>
        <v>0</v>
      </c>
      <c r="X11" s="419">
        <f t="shared" si="2"/>
        <v>0</v>
      </c>
      <c r="Y11" s="395">
        <f t="shared" ref="Y11:Y21" si="5">((S11+J11)/(B11*C11))*100</f>
        <v>0.53163211057947901</v>
      </c>
    </row>
    <row r="12" spans="1:27">
      <c r="A12" s="396" t="s">
        <v>250</v>
      </c>
      <c r="B12" s="397" t="s">
        <v>457</v>
      </c>
      <c r="C12" s="398">
        <v>171</v>
      </c>
      <c r="D12" s="399">
        <v>0</v>
      </c>
      <c r="E12" s="400">
        <v>0</v>
      </c>
      <c r="F12" s="400">
        <v>0</v>
      </c>
      <c r="G12" s="398">
        <v>0</v>
      </c>
      <c r="H12" s="399">
        <v>0</v>
      </c>
      <c r="I12" s="400">
        <v>0</v>
      </c>
      <c r="J12" s="401">
        <v>0</v>
      </c>
      <c r="K12" s="402">
        <v>0</v>
      </c>
      <c r="L12" s="403">
        <v>0</v>
      </c>
      <c r="M12" s="404">
        <v>0</v>
      </c>
      <c r="N12" s="404">
        <v>0</v>
      </c>
      <c r="O12" s="399">
        <v>6</v>
      </c>
      <c r="P12" s="405">
        <v>65</v>
      </c>
      <c r="Q12" s="400">
        <v>0</v>
      </c>
      <c r="R12" s="406">
        <v>65</v>
      </c>
      <c r="S12" s="398">
        <v>65</v>
      </c>
      <c r="T12" s="407">
        <v>0</v>
      </c>
      <c r="U12" s="408">
        <v>0</v>
      </c>
      <c r="V12" s="409">
        <f t="shared" si="4"/>
        <v>0</v>
      </c>
      <c r="W12" s="410">
        <f t="shared" si="1"/>
        <v>0</v>
      </c>
      <c r="X12" s="411">
        <f t="shared" si="2"/>
        <v>0</v>
      </c>
      <c r="Y12" s="412">
        <f t="shared" si="5"/>
        <v>1.9005847953216373</v>
      </c>
    </row>
    <row r="13" spans="1:27">
      <c r="A13" s="378" t="s">
        <v>251</v>
      </c>
      <c r="B13" s="413" t="s">
        <v>457</v>
      </c>
      <c r="C13" s="398">
        <v>171</v>
      </c>
      <c r="D13" s="414">
        <v>0</v>
      </c>
      <c r="E13" s="415">
        <v>0</v>
      </c>
      <c r="F13" s="382">
        <v>0</v>
      </c>
      <c r="G13" s="416">
        <v>0</v>
      </c>
      <c r="H13" s="414">
        <v>0</v>
      </c>
      <c r="I13" s="415">
        <v>0</v>
      </c>
      <c r="J13" s="384">
        <v>0</v>
      </c>
      <c r="K13" s="385">
        <v>0</v>
      </c>
      <c r="L13" s="386">
        <v>0</v>
      </c>
      <c r="M13" s="420">
        <v>0</v>
      </c>
      <c r="N13" s="420">
        <v>0</v>
      </c>
      <c r="O13" s="381">
        <v>2</v>
      </c>
      <c r="P13" s="417">
        <v>20</v>
      </c>
      <c r="Q13" s="415">
        <v>0</v>
      </c>
      <c r="R13" s="389">
        <v>20</v>
      </c>
      <c r="S13" s="380">
        <v>20</v>
      </c>
      <c r="T13" s="390">
        <f t="shared" si="0"/>
        <v>0</v>
      </c>
      <c r="U13" s="391">
        <f t="shared" si="3"/>
        <v>0</v>
      </c>
      <c r="V13" s="392">
        <f t="shared" si="4"/>
        <v>0</v>
      </c>
      <c r="W13" s="418">
        <f t="shared" si="1"/>
        <v>0</v>
      </c>
      <c r="X13" s="419">
        <f>(M13/C13)*100</f>
        <v>0</v>
      </c>
      <c r="Y13" s="395">
        <f t="shared" si="5"/>
        <v>0.58479532163742687</v>
      </c>
    </row>
    <row r="14" spans="1:27">
      <c r="A14" s="396" t="s">
        <v>252</v>
      </c>
      <c r="B14" s="397" t="s">
        <v>469</v>
      </c>
      <c r="C14" s="398">
        <v>171</v>
      </c>
      <c r="D14" s="399">
        <v>0</v>
      </c>
      <c r="E14" s="400">
        <v>0</v>
      </c>
      <c r="F14" s="400">
        <v>1</v>
      </c>
      <c r="G14" s="398">
        <v>1</v>
      </c>
      <c r="H14" s="399">
        <v>1</v>
      </c>
      <c r="I14" s="400">
        <v>0</v>
      </c>
      <c r="J14" s="401">
        <v>0</v>
      </c>
      <c r="K14" s="402">
        <v>1</v>
      </c>
      <c r="L14" s="403">
        <v>0</v>
      </c>
      <c r="M14" s="404">
        <v>0</v>
      </c>
      <c r="N14" s="404">
        <v>0</v>
      </c>
      <c r="O14" s="399">
        <v>0</v>
      </c>
      <c r="P14" s="405">
        <v>0</v>
      </c>
      <c r="Q14" s="400">
        <v>0</v>
      </c>
      <c r="R14" s="406">
        <v>0</v>
      </c>
      <c r="S14" s="398">
        <v>0</v>
      </c>
      <c r="T14" s="407">
        <f t="shared" si="0"/>
        <v>0.58479532163742687</v>
      </c>
      <c r="U14" s="408">
        <f t="shared" si="3"/>
        <v>0.58479532163742687</v>
      </c>
      <c r="V14" s="409">
        <f t="shared" si="4"/>
        <v>3.4198556820902155E-4</v>
      </c>
      <c r="W14" s="410">
        <f t="shared" si="1"/>
        <v>0</v>
      </c>
      <c r="X14" s="411">
        <f t="shared" si="2"/>
        <v>0</v>
      </c>
      <c r="Y14" s="412">
        <f t="shared" si="5"/>
        <v>0</v>
      </c>
    </row>
    <row r="15" spans="1:27">
      <c r="A15" s="421" t="s">
        <v>253</v>
      </c>
      <c r="B15" s="422" t="s">
        <v>457</v>
      </c>
      <c r="C15" s="398">
        <v>171</v>
      </c>
      <c r="D15" s="414">
        <v>0</v>
      </c>
      <c r="E15" s="415">
        <v>0</v>
      </c>
      <c r="F15" s="382">
        <v>1</v>
      </c>
      <c r="G15" s="416">
        <v>1</v>
      </c>
      <c r="H15" s="414">
        <v>10</v>
      </c>
      <c r="I15" s="415">
        <v>0</v>
      </c>
      <c r="J15" s="384">
        <v>10</v>
      </c>
      <c r="K15" s="385">
        <v>8</v>
      </c>
      <c r="L15" s="386">
        <v>0</v>
      </c>
      <c r="M15" s="387">
        <v>0</v>
      </c>
      <c r="N15" s="420">
        <v>0</v>
      </c>
      <c r="O15" s="381">
        <v>1</v>
      </c>
      <c r="P15" s="417">
        <v>14</v>
      </c>
      <c r="Q15" s="415">
        <v>0</v>
      </c>
      <c r="R15" s="389">
        <v>14</v>
      </c>
      <c r="S15" s="380">
        <v>14</v>
      </c>
      <c r="T15" s="390">
        <f t="shared" si="0"/>
        <v>0.58479532163742687</v>
      </c>
      <c r="U15" s="391">
        <f t="shared" si="3"/>
        <v>10.526315789473683</v>
      </c>
      <c r="V15" s="392">
        <f t="shared" si="4"/>
        <v>6.1557402277623878E-3</v>
      </c>
      <c r="W15" s="418">
        <f t="shared" si="1"/>
        <v>0</v>
      </c>
      <c r="X15" s="419">
        <f t="shared" si="2"/>
        <v>0</v>
      </c>
      <c r="Y15" s="395">
        <f t="shared" si="5"/>
        <v>0.70175438596491224</v>
      </c>
    </row>
    <row r="16" spans="1:27">
      <c r="A16" s="396" t="s">
        <v>254</v>
      </c>
      <c r="B16" s="397" t="s">
        <v>469</v>
      </c>
      <c r="C16" s="398">
        <v>171</v>
      </c>
      <c r="D16" s="399">
        <v>0</v>
      </c>
      <c r="E16" s="400">
        <v>0</v>
      </c>
      <c r="F16" s="400">
        <v>0</v>
      </c>
      <c r="G16" s="398">
        <v>0</v>
      </c>
      <c r="H16" s="399">
        <v>0</v>
      </c>
      <c r="I16" s="400">
        <v>0</v>
      </c>
      <c r="J16" s="401">
        <v>0</v>
      </c>
      <c r="K16" s="402">
        <v>0</v>
      </c>
      <c r="L16" s="403">
        <v>0</v>
      </c>
      <c r="M16" s="404">
        <v>0</v>
      </c>
      <c r="N16" s="404">
        <v>0</v>
      </c>
      <c r="O16" s="399">
        <v>1</v>
      </c>
      <c r="P16" s="405">
        <v>11</v>
      </c>
      <c r="Q16" s="400">
        <v>0</v>
      </c>
      <c r="R16" s="406">
        <v>6</v>
      </c>
      <c r="S16" s="398">
        <v>6</v>
      </c>
      <c r="T16" s="407">
        <f t="shared" si="0"/>
        <v>0</v>
      </c>
      <c r="U16" s="408">
        <f t="shared" si="3"/>
        <v>0</v>
      </c>
      <c r="V16" s="409">
        <f t="shared" si="4"/>
        <v>0</v>
      </c>
      <c r="W16" s="410">
        <f t="shared" si="1"/>
        <v>0</v>
      </c>
      <c r="X16" s="411">
        <f t="shared" si="2"/>
        <v>0</v>
      </c>
      <c r="Y16" s="412">
        <f>((S16+J16)/(B16*C16))*100</f>
        <v>0.16708437761069339</v>
      </c>
      <c r="AA16" s="423"/>
    </row>
    <row r="17" spans="1:26">
      <c r="A17" s="424" t="s">
        <v>255</v>
      </c>
      <c r="B17" s="413" t="s">
        <v>249</v>
      </c>
      <c r="C17" s="380">
        <v>171</v>
      </c>
      <c r="D17" s="381">
        <v>1</v>
      </c>
      <c r="E17" s="382">
        <v>0</v>
      </c>
      <c r="F17" s="382">
        <v>1</v>
      </c>
      <c r="G17" s="380">
        <v>1</v>
      </c>
      <c r="H17" s="381">
        <v>6</v>
      </c>
      <c r="I17" s="382">
        <v>9</v>
      </c>
      <c r="J17" s="384">
        <v>15</v>
      </c>
      <c r="K17" s="385">
        <v>11</v>
      </c>
      <c r="L17" s="386">
        <v>0</v>
      </c>
      <c r="M17" s="387">
        <v>0</v>
      </c>
      <c r="N17" s="387">
        <v>0</v>
      </c>
      <c r="O17" s="381">
        <v>1</v>
      </c>
      <c r="P17" s="388">
        <v>13</v>
      </c>
      <c r="Q17" s="382">
        <v>0</v>
      </c>
      <c r="R17" s="389">
        <v>7</v>
      </c>
      <c r="S17" s="380">
        <v>18</v>
      </c>
      <c r="T17" s="390">
        <f t="shared" si="0"/>
        <v>0.58479532163742687</v>
      </c>
      <c r="U17" s="391">
        <f t="shared" si="3"/>
        <v>15.204678362573098</v>
      </c>
      <c r="V17" s="392">
        <f t="shared" si="4"/>
        <v>8.8916247734345585E-3</v>
      </c>
      <c r="W17" s="418">
        <f t="shared" si="1"/>
        <v>0</v>
      </c>
      <c r="X17" s="419">
        <f t="shared" si="2"/>
        <v>0</v>
      </c>
      <c r="Y17" s="412">
        <f>((S17+J17)/(B17*C17))*100</f>
        <v>0.8771929824561403</v>
      </c>
    </row>
    <row r="18" spans="1:26">
      <c r="A18" s="425" t="s">
        <v>256</v>
      </c>
      <c r="B18" s="397" t="s">
        <v>457</v>
      </c>
      <c r="C18" s="398">
        <v>171</v>
      </c>
      <c r="D18" s="399">
        <v>0</v>
      </c>
      <c r="E18" s="400">
        <v>0</v>
      </c>
      <c r="F18" s="400">
        <v>0</v>
      </c>
      <c r="G18" s="398">
        <v>0</v>
      </c>
      <c r="H18" s="399">
        <v>0</v>
      </c>
      <c r="I18" s="400">
        <v>0</v>
      </c>
      <c r="J18" s="401">
        <v>0</v>
      </c>
      <c r="K18" s="402">
        <v>0</v>
      </c>
      <c r="L18" s="403">
        <v>0</v>
      </c>
      <c r="M18" s="404">
        <v>0</v>
      </c>
      <c r="N18" s="404">
        <v>0</v>
      </c>
      <c r="O18" s="399">
        <v>1</v>
      </c>
      <c r="P18" s="405">
        <v>22</v>
      </c>
      <c r="Q18" s="400">
        <v>0</v>
      </c>
      <c r="R18" s="406">
        <v>22</v>
      </c>
      <c r="S18" s="398">
        <v>19</v>
      </c>
      <c r="T18" s="407">
        <f t="shared" si="0"/>
        <v>0</v>
      </c>
      <c r="U18" s="408">
        <f t="shared" si="3"/>
        <v>0</v>
      </c>
      <c r="V18" s="409">
        <f t="shared" si="4"/>
        <v>0</v>
      </c>
      <c r="W18" s="410">
        <f t="shared" si="1"/>
        <v>0</v>
      </c>
      <c r="X18" s="411">
        <f t="shared" si="2"/>
        <v>0</v>
      </c>
      <c r="Y18" s="412">
        <f t="shared" si="5"/>
        <v>0.55555555555555558</v>
      </c>
    </row>
    <row r="19" spans="1:26">
      <c r="A19" s="424" t="s">
        <v>257</v>
      </c>
      <c r="B19" s="413" t="s">
        <v>457</v>
      </c>
      <c r="C19" s="398">
        <v>171</v>
      </c>
      <c r="D19" s="381">
        <v>0</v>
      </c>
      <c r="E19" s="382">
        <v>0</v>
      </c>
      <c r="F19" s="382">
        <v>0</v>
      </c>
      <c r="G19" s="380">
        <v>0</v>
      </c>
      <c r="H19" s="381">
        <v>0</v>
      </c>
      <c r="I19" s="382">
        <v>0</v>
      </c>
      <c r="J19" s="384">
        <v>0</v>
      </c>
      <c r="K19" s="385">
        <v>0</v>
      </c>
      <c r="L19" s="386">
        <v>0</v>
      </c>
      <c r="M19" s="387">
        <v>0</v>
      </c>
      <c r="N19" s="387">
        <v>0</v>
      </c>
      <c r="O19" s="381">
        <v>1</v>
      </c>
      <c r="P19" s="388">
        <v>20</v>
      </c>
      <c r="Q19" s="382">
        <v>0</v>
      </c>
      <c r="R19" s="389">
        <v>20</v>
      </c>
      <c r="S19" s="380">
        <v>20</v>
      </c>
      <c r="T19" s="390">
        <f t="shared" si="0"/>
        <v>0</v>
      </c>
      <c r="U19" s="391">
        <f t="shared" si="3"/>
        <v>0</v>
      </c>
      <c r="V19" s="392">
        <f t="shared" si="4"/>
        <v>0</v>
      </c>
      <c r="W19" s="418">
        <f t="shared" si="1"/>
        <v>0</v>
      </c>
      <c r="X19" s="419">
        <f t="shared" si="2"/>
        <v>0</v>
      </c>
      <c r="Y19" s="395">
        <f t="shared" si="5"/>
        <v>0.58479532163742687</v>
      </c>
    </row>
    <row r="20" spans="1:26" ht="15.75" thickBot="1">
      <c r="A20" s="426" t="s">
        <v>258</v>
      </c>
      <c r="B20" s="427" t="s">
        <v>469</v>
      </c>
      <c r="C20" s="428">
        <v>159</v>
      </c>
      <c r="D20" s="429">
        <v>0</v>
      </c>
      <c r="E20" s="430">
        <v>0</v>
      </c>
      <c r="F20" s="430">
        <v>0</v>
      </c>
      <c r="G20" s="431">
        <v>0</v>
      </c>
      <c r="H20" s="429">
        <v>0</v>
      </c>
      <c r="I20" s="430">
        <v>0</v>
      </c>
      <c r="J20" s="432">
        <v>0</v>
      </c>
      <c r="K20" s="433">
        <v>0</v>
      </c>
      <c r="L20" s="434">
        <v>0</v>
      </c>
      <c r="M20" s="435">
        <v>0</v>
      </c>
      <c r="N20" s="435">
        <v>0</v>
      </c>
      <c r="O20" s="429">
        <v>1</v>
      </c>
      <c r="P20" s="436">
        <v>21</v>
      </c>
      <c r="Q20" s="430">
        <v>0</v>
      </c>
      <c r="R20" s="437">
        <v>21</v>
      </c>
      <c r="S20" s="428">
        <v>21</v>
      </c>
      <c r="T20" s="438">
        <f t="shared" si="0"/>
        <v>0</v>
      </c>
      <c r="U20" s="439">
        <f t="shared" si="3"/>
        <v>0</v>
      </c>
      <c r="V20" s="440">
        <f t="shared" si="4"/>
        <v>0</v>
      </c>
      <c r="W20" s="441">
        <f t="shared" si="1"/>
        <v>0</v>
      </c>
      <c r="X20" s="442">
        <f t="shared" si="2"/>
        <v>0</v>
      </c>
      <c r="Y20" s="443">
        <f t="shared" si="5"/>
        <v>0.62893081761006298</v>
      </c>
    </row>
    <row r="21" spans="1:26" s="459" customFormat="1" ht="15.75" thickBot="1">
      <c r="A21" s="444" t="s">
        <v>259</v>
      </c>
      <c r="B21" s="445">
        <f>B9+B10+B11+B12+B13+B14+B15+B16+B17+B18+B19+B20</f>
        <v>258</v>
      </c>
      <c r="C21" s="446">
        <f>AVERAGE(C9:C20)</f>
        <v>169.25</v>
      </c>
      <c r="D21" s="447">
        <f t="shared" ref="D21:I21" si="6">SUM(D9:D20)</f>
        <v>1</v>
      </c>
      <c r="E21" s="448">
        <f t="shared" si="6"/>
        <v>0</v>
      </c>
      <c r="F21" s="448">
        <f t="shared" si="6"/>
        <v>4</v>
      </c>
      <c r="G21" s="446">
        <f t="shared" si="6"/>
        <v>4</v>
      </c>
      <c r="H21" s="447">
        <f t="shared" si="6"/>
        <v>18</v>
      </c>
      <c r="I21" s="448">
        <f t="shared" si="6"/>
        <v>16</v>
      </c>
      <c r="J21" s="446">
        <f t="shared" ref="J21" si="7">H21+I21</f>
        <v>34</v>
      </c>
      <c r="K21" s="449">
        <f>SUM(K9:K20)</f>
        <v>20</v>
      </c>
      <c r="L21" s="450"/>
      <c r="M21" s="448">
        <f>SUM(M9:M20)</f>
        <v>0</v>
      </c>
      <c r="N21" s="451">
        <v>5</v>
      </c>
      <c r="O21" s="447"/>
      <c r="P21" s="452"/>
      <c r="Q21" s="448"/>
      <c r="R21" s="449">
        <f t="shared" ref="R21" si="8">P21+Q21</f>
        <v>0</v>
      </c>
      <c r="S21" s="446">
        <f>SUM(S9:S20)</f>
        <v>218</v>
      </c>
      <c r="T21" s="453">
        <f t="shared" si="0"/>
        <v>2.3633677991137372</v>
      </c>
      <c r="U21" s="454">
        <f t="shared" si="3"/>
        <v>31.905465288035451</v>
      </c>
      <c r="V21" s="455">
        <f>(E21/F21)*100</f>
        <v>0</v>
      </c>
      <c r="W21" s="456">
        <f t="shared" si="1"/>
        <v>2.954209748892171</v>
      </c>
      <c r="X21" s="457">
        <f t="shared" si="2"/>
        <v>0</v>
      </c>
      <c r="Y21" s="458">
        <f t="shared" si="5"/>
        <v>0.57710143931847069</v>
      </c>
    </row>
    <row r="22" spans="1:26">
      <c r="W22" s="460"/>
    </row>
    <row r="23" spans="1:26" ht="15.75" thickBot="1"/>
    <row r="24" spans="1:26" ht="34.15" customHeight="1" thickBot="1">
      <c r="A24" s="1116" t="s">
        <v>260</v>
      </c>
      <c r="B24" s="1117"/>
      <c r="C24" s="1117"/>
      <c r="D24" s="1117"/>
      <c r="E24" s="1117"/>
      <c r="F24" s="1117"/>
      <c r="G24" s="1117"/>
      <c r="H24" s="1117"/>
      <c r="I24" s="1118"/>
      <c r="T24" s="461" t="s">
        <v>261</v>
      </c>
      <c r="U24" s="462" t="s">
        <v>262</v>
      </c>
      <c r="V24" s="463" t="s">
        <v>263</v>
      </c>
      <c r="W24" s="463"/>
      <c r="X24" s="464" t="s">
        <v>264</v>
      </c>
      <c r="Y24" s="465" t="s">
        <v>265</v>
      </c>
    </row>
    <row r="25" spans="1:26" ht="27.75" customHeight="1">
      <c r="A25" s="1119" t="s">
        <v>266</v>
      </c>
      <c r="B25" s="1120"/>
      <c r="C25" s="1120"/>
      <c r="D25" s="1120"/>
      <c r="E25" s="1120"/>
      <c r="F25" s="1120"/>
      <c r="G25" s="1120"/>
      <c r="H25" s="1120"/>
      <c r="I25" s="1121"/>
      <c r="J25" s="140"/>
      <c r="K25" s="140"/>
      <c r="L25" s="140"/>
      <c r="M25" s="140"/>
      <c r="N25" s="140"/>
      <c r="O25" s="1065" t="s">
        <v>267</v>
      </c>
      <c r="P25" s="1065"/>
      <c r="Q25" s="1122" t="s">
        <v>268</v>
      </c>
      <c r="R25" s="1122"/>
      <c r="S25" s="466"/>
      <c r="T25" s="141" t="s">
        <v>269</v>
      </c>
      <c r="U25" s="142">
        <v>0</v>
      </c>
      <c r="V25" s="143" t="s">
        <v>270</v>
      </c>
      <c r="W25" s="143" t="s">
        <v>270</v>
      </c>
      <c r="X25" s="144"/>
      <c r="Y25" s="145"/>
      <c r="Z25" s="467"/>
    </row>
    <row r="26" spans="1:26" ht="27.75" customHeight="1">
      <c r="A26" s="1123" t="s">
        <v>271</v>
      </c>
      <c r="B26" s="1123"/>
      <c r="C26" s="1123"/>
      <c r="D26" s="1123"/>
      <c r="E26" s="1123"/>
      <c r="F26" s="1123"/>
      <c r="G26" s="1123"/>
      <c r="H26" s="1123"/>
      <c r="I26" s="1123"/>
      <c r="J26" s="140"/>
      <c r="K26" s="140"/>
      <c r="L26" s="140"/>
      <c r="M26" s="140"/>
      <c r="N26" s="140"/>
      <c r="O26" s="1124" t="s">
        <v>272</v>
      </c>
      <c r="P26" s="1124"/>
      <c r="Q26" s="1125" t="s">
        <v>273</v>
      </c>
      <c r="R26" s="1125"/>
      <c r="S26" s="146"/>
      <c r="T26" s="147" t="s">
        <v>274</v>
      </c>
      <c r="U26" s="148">
        <v>3</v>
      </c>
      <c r="V26" s="149" t="s">
        <v>275</v>
      </c>
      <c r="W26" s="149" t="s">
        <v>276</v>
      </c>
      <c r="X26" s="150" t="s">
        <v>277</v>
      </c>
      <c r="Y26" s="73">
        <f>6000*13.3%</f>
        <v>798</v>
      </c>
      <c r="Z26" s="151"/>
    </row>
    <row r="27" spans="1:26" ht="27.75" customHeight="1">
      <c r="A27" s="1123"/>
      <c r="B27" s="1123"/>
      <c r="C27" s="1123"/>
      <c r="D27" s="1123"/>
      <c r="E27" s="1123"/>
      <c r="F27" s="1123"/>
      <c r="G27" s="1123"/>
      <c r="H27" s="1123"/>
      <c r="I27" s="1123"/>
      <c r="J27" s="140"/>
      <c r="K27" s="140"/>
      <c r="L27" s="140"/>
      <c r="M27" s="140"/>
      <c r="N27" s="140"/>
      <c r="O27" s="1124" t="s">
        <v>278</v>
      </c>
      <c r="P27" s="1124"/>
      <c r="Q27" s="1126" t="s">
        <v>279</v>
      </c>
      <c r="R27" s="1126"/>
      <c r="S27" s="466"/>
      <c r="T27" s="147" t="s">
        <v>280</v>
      </c>
      <c r="U27" s="148">
        <v>0</v>
      </c>
      <c r="V27" s="149" t="s">
        <v>270</v>
      </c>
      <c r="W27" s="149" t="s">
        <v>270</v>
      </c>
      <c r="X27" s="150"/>
      <c r="Y27" s="468"/>
    </row>
    <row r="28" spans="1:26" ht="27" customHeight="1" thickBot="1">
      <c r="A28" s="1127" t="s">
        <v>281</v>
      </c>
      <c r="B28" s="1128"/>
      <c r="C28" s="1128"/>
      <c r="D28" s="1128"/>
      <c r="E28" s="1128"/>
      <c r="F28" s="1128"/>
      <c r="G28" s="1128"/>
      <c r="H28" s="1128"/>
      <c r="I28" s="1129"/>
      <c r="J28" s="140"/>
      <c r="K28" s="140"/>
      <c r="L28" s="140"/>
      <c r="M28" s="140"/>
      <c r="N28" s="140"/>
      <c r="O28" s="1124" t="s">
        <v>282</v>
      </c>
      <c r="P28" s="1124"/>
      <c r="Q28" s="1125"/>
      <c r="R28" s="1125"/>
      <c r="S28" s="146"/>
      <c r="T28" s="152" t="s">
        <v>283</v>
      </c>
      <c r="U28" s="153">
        <v>3</v>
      </c>
      <c r="V28" s="154" t="s">
        <v>284</v>
      </c>
      <c r="W28" s="154" t="s">
        <v>285</v>
      </c>
      <c r="X28" s="155" t="s">
        <v>286</v>
      </c>
      <c r="Y28" s="469"/>
    </row>
    <row r="29" spans="1:26" ht="25.9" customHeight="1">
      <c r="A29" s="1123" t="s">
        <v>287</v>
      </c>
      <c r="B29" s="1123"/>
      <c r="C29" s="1123"/>
      <c r="D29" s="1123"/>
      <c r="E29" s="1123"/>
      <c r="F29" s="1123"/>
      <c r="G29" s="1123"/>
      <c r="H29" s="1123"/>
      <c r="I29" s="1123"/>
      <c r="J29" s="1130" t="s">
        <v>288</v>
      </c>
      <c r="K29" s="1130"/>
      <c r="L29" s="1130"/>
      <c r="M29" s="1130"/>
      <c r="N29" s="1130"/>
      <c r="O29" s="1124" t="s">
        <v>289</v>
      </c>
      <c r="P29" s="1124"/>
      <c r="Q29" s="1131" t="s">
        <v>290</v>
      </c>
      <c r="R29" s="1132"/>
      <c r="S29" s="156"/>
      <c r="T29" s="156"/>
      <c r="U29" s="156"/>
      <c r="V29" s="156"/>
      <c r="W29" s="156"/>
      <c r="X29" s="156"/>
      <c r="Y29" s="466"/>
    </row>
    <row r="30" spans="1:26" ht="14.45" customHeight="1">
      <c r="A30" s="1123" t="s">
        <v>291</v>
      </c>
      <c r="B30" s="1123"/>
      <c r="C30" s="1123"/>
      <c r="D30" s="1123"/>
      <c r="E30" s="1123"/>
      <c r="F30" s="1123"/>
      <c r="G30" s="1123"/>
      <c r="H30" s="1123"/>
      <c r="I30" s="1123"/>
      <c r="J30" s="157"/>
      <c r="K30" s="157"/>
      <c r="L30" s="157"/>
      <c r="M30" s="157"/>
      <c r="N30" s="157"/>
      <c r="O30" s="1077" t="s">
        <v>292</v>
      </c>
      <c r="P30" s="1078"/>
      <c r="Q30" s="1078"/>
      <c r="R30" s="1079"/>
      <c r="S30" s="156"/>
      <c r="T30" s="156"/>
      <c r="U30" s="156"/>
      <c r="V30" s="156"/>
      <c r="W30" s="156"/>
      <c r="X30" s="156"/>
      <c r="Y30" s="466"/>
    </row>
    <row r="31" spans="1:26" ht="30" customHeight="1">
      <c r="A31" s="1123" t="s">
        <v>293</v>
      </c>
      <c r="B31" s="1123"/>
      <c r="C31" s="1123"/>
      <c r="D31" s="1123"/>
      <c r="E31" s="1123"/>
      <c r="F31" s="1123"/>
      <c r="G31" s="1123"/>
      <c r="H31" s="1123"/>
      <c r="I31" s="1123"/>
      <c r="J31" s="1133" t="s">
        <v>294</v>
      </c>
      <c r="K31" s="1133"/>
      <c r="L31" s="1133"/>
      <c r="M31" s="1133"/>
      <c r="N31" s="1133"/>
      <c r="O31" s="1080"/>
      <c r="P31" s="1081"/>
      <c r="Q31" s="1081"/>
      <c r="R31" s="1082"/>
      <c r="S31" s="157"/>
      <c r="T31" s="157"/>
      <c r="U31" s="157"/>
      <c r="V31" s="157"/>
      <c r="W31" s="157"/>
      <c r="X31" s="157"/>
    </row>
    <row r="34" spans="1:25">
      <c r="A34" s="1134" t="s">
        <v>295</v>
      </c>
      <c r="B34" s="1135"/>
      <c r="C34" s="1135"/>
      <c r="D34" s="1135"/>
      <c r="E34" s="1135"/>
      <c r="F34" s="1135"/>
      <c r="G34" s="1135"/>
      <c r="H34" s="1135"/>
      <c r="I34" s="1135"/>
      <c r="J34" s="1135"/>
      <c r="K34" s="1135"/>
      <c r="L34" s="1135"/>
      <c r="M34" s="1135"/>
      <c r="N34" s="1135"/>
      <c r="O34" s="1135"/>
      <c r="P34" s="1135"/>
      <c r="Q34" s="1135"/>
      <c r="R34" s="1135"/>
      <c r="S34" s="1135"/>
      <c r="T34" s="1135"/>
      <c r="U34" s="1135"/>
      <c r="V34" s="1135"/>
      <c r="W34" s="1135"/>
      <c r="X34" s="1135"/>
      <c r="Y34" s="1135"/>
    </row>
  </sheetData>
  <mergeCells count="30">
    <mergeCell ref="A30:I30"/>
    <mergeCell ref="O30:R31"/>
    <mergeCell ref="A31:I31"/>
    <mergeCell ref="J31:N31"/>
    <mergeCell ref="A34:Y34"/>
    <mergeCell ref="A28:I28"/>
    <mergeCell ref="O28:P28"/>
    <mergeCell ref="Q28:R28"/>
    <mergeCell ref="A29:I29"/>
    <mergeCell ref="J29:N29"/>
    <mergeCell ref="O29:P29"/>
    <mergeCell ref="Q29:R29"/>
    <mergeCell ref="A24:I24"/>
    <mergeCell ref="A25:I25"/>
    <mergeCell ref="O25:P25"/>
    <mergeCell ref="Q25:R25"/>
    <mergeCell ref="A26:I27"/>
    <mergeCell ref="O26:P26"/>
    <mergeCell ref="Q26:R26"/>
    <mergeCell ref="O27:P27"/>
    <mergeCell ref="Q27:R27"/>
    <mergeCell ref="A1:C3"/>
    <mergeCell ref="D1:W2"/>
    <mergeCell ref="D3:W3"/>
    <mergeCell ref="D7:G7"/>
    <mergeCell ref="H7:K7"/>
    <mergeCell ref="L7:N7"/>
    <mergeCell ref="O7:R7"/>
    <mergeCell ref="T7:V7"/>
    <mergeCell ref="W7:X7"/>
  </mergeCells>
  <pageMargins left="0.11811023622047245" right="0.11811023622047245" top="0.74803149606299213" bottom="0.74803149606299213" header="0.31496062992125984" footer="0.31496062992125984"/>
  <pageSetup paperSize="7" scale="35" orientation="landscape" horizontalDpi="4294967293" r:id="rId1"/>
  <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66"/>
  <sheetViews>
    <sheetView zoomScale="70" zoomScaleNormal="70" workbookViewId="0">
      <selection activeCell="P24" sqref="P24"/>
    </sheetView>
  </sheetViews>
  <sheetFormatPr baseColWidth="10" defaultRowHeight="15"/>
  <cols>
    <col min="1" max="1" width="15" style="481" customWidth="1"/>
    <col min="2" max="2" width="11" style="481"/>
    <col min="3" max="4" width="11.625" style="481" customWidth="1"/>
    <col min="5" max="5" width="11" style="481"/>
    <col min="6" max="6" width="10.875" style="481" customWidth="1"/>
    <col min="7" max="7" width="13.25" style="481" customWidth="1"/>
    <col min="8" max="8" width="12.625" style="481" customWidth="1"/>
    <col min="9" max="11" width="13.25" style="481" customWidth="1"/>
    <col min="12" max="12" width="11.375" style="481" customWidth="1"/>
    <col min="13" max="14" width="13.25" style="481" customWidth="1"/>
    <col min="15" max="16" width="13.125" style="481" customWidth="1"/>
    <col min="17" max="17" width="13.875" style="481" customWidth="1"/>
    <col min="18" max="19" width="13.5" style="481" customWidth="1"/>
    <col min="20" max="20" width="12.25" style="481" customWidth="1"/>
    <col min="21" max="21" width="17.375" style="481" customWidth="1"/>
    <col min="22" max="22" width="16.875" style="481" customWidth="1"/>
    <col min="23" max="23" width="13.75" style="481" customWidth="1"/>
    <col min="24" max="24" width="12.375" style="481" customWidth="1"/>
    <col min="25" max="16384" width="11" style="481"/>
  </cols>
  <sheetData>
    <row r="1" spans="1:24" s="472" customFormat="1" ht="23.25" customHeight="1">
      <c r="A1" s="1168"/>
      <c r="B1" s="1169"/>
      <c r="C1" s="1174" t="s">
        <v>208</v>
      </c>
      <c r="D1" s="1175"/>
      <c r="E1" s="1175"/>
      <c r="F1" s="1175"/>
      <c r="G1" s="1175"/>
      <c r="H1" s="1175"/>
      <c r="I1" s="1175"/>
      <c r="J1" s="1175"/>
      <c r="K1" s="1175"/>
      <c r="L1" s="1175"/>
      <c r="M1" s="1175"/>
      <c r="N1" s="1175"/>
      <c r="O1" s="1175"/>
      <c r="P1" s="1175"/>
      <c r="Q1" s="1175"/>
      <c r="R1" s="1175"/>
      <c r="S1" s="1175"/>
      <c r="T1" s="1175"/>
      <c r="U1" s="1175"/>
      <c r="V1" s="1176"/>
      <c r="W1" s="470" t="s">
        <v>209</v>
      </c>
      <c r="X1" s="471"/>
    </row>
    <row r="2" spans="1:24" s="472" customFormat="1" ht="23.25" customHeight="1">
      <c r="A2" s="1170"/>
      <c r="B2" s="1171"/>
      <c r="C2" s="1177"/>
      <c r="D2" s="1178"/>
      <c r="E2" s="1178"/>
      <c r="F2" s="1178"/>
      <c r="G2" s="1178"/>
      <c r="H2" s="1178"/>
      <c r="I2" s="1178"/>
      <c r="J2" s="1178"/>
      <c r="K2" s="1178"/>
      <c r="L2" s="1178"/>
      <c r="M2" s="1178"/>
      <c r="N2" s="1178"/>
      <c r="O2" s="1178"/>
      <c r="P2" s="1178"/>
      <c r="Q2" s="1178"/>
      <c r="R2" s="1178"/>
      <c r="S2" s="1178"/>
      <c r="T2" s="1178"/>
      <c r="U2" s="1178"/>
      <c r="V2" s="1179"/>
      <c r="W2" s="473" t="s">
        <v>211</v>
      </c>
      <c r="X2" s="474">
        <v>0</v>
      </c>
    </row>
    <row r="3" spans="1:24" s="472" customFormat="1" ht="18.75" customHeight="1" thickBot="1">
      <c r="A3" s="1172"/>
      <c r="B3" s="1173"/>
      <c r="C3" s="1180" t="s">
        <v>212</v>
      </c>
      <c r="D3" s="1181"/>
      <c r="E3" s="1181"/>
      <c r="F3" s="1181"/>
      <c r="G3" s="1181"/>
      <c r="H3" s="1181"/>
      <c r="I3" s="1181"/>
      <c r="J3" s="1181"/>
      <c r="K3" s="1181"/>
      <c r="L3" s="1181"/>
      <c r="M3" s="1181"/>
      <c r="N3" s="1181"/>
      <c r="O3" s="1181"/>
      <c r="P3" s="1181"/>
      <c r="Q3" s="1181"/>
      <c r="R3" s="1181"/>
      <c r="S3" s="1181"/>
      <c r="T3" s="1181"/>
      <c r="U3" s="1181"/>
      <c r="V3" s="1182"/>
      <c r="W3" s="475" t="s">
        <v>213</v>
      </c>
      <c r="X3" s="476"/>
    </row>
    <row r="4" spans="1:24" s="472" customFormat="1" ht="18.75" customHeight="1">
      <c r="A4" s="477"/>
      <c r="B4" s="477"/>
      <c r="C4" s="478"/>
      <c r="D4" s="478"/>
      <c r="E4" s="478"/>
      <c r="F4" s="478"/>
      <c r="G4" s="478"/>
      <c r="H4" s="478"/>
      <c r="I4" s="478"/>
      <c r="J4" s="478"/>
      <c r="K4" s="478"/>
      <c r="L4" s="478"/>
      <c r="M4" s="478"/>
      <c r="N4" s="478"/>
      <c r="O4" s="478"/>
      <c r="P4" s="478"/>
      <c r="Q4" s="478"/>
      <c r="R4" s="478"/>
      <c r="S4" s="478"/>
      <c r="T4" s="478"/>
      <c r="U4" s="478"/>
      <c r="V4" s="478"/>
      <c r="W4" s="479"/>
      <c r="X4" s="480"/>
    </row>
    <row r="5" spans="1:24" s="472" customFormat="1" ht="18.75" customHeight="1">
      <c r="A5" s="477"/>
      <c r="B5" s="477"/>
      <c r="C5" s="478"/>
      <c r="D5" s="478"/>
      <c r="E5" s="478"/>
      <c r="F5" s="478"/>
      <c r="G5" s="478"/>
      <c r="H5" s="478"/>
      <c r="I5" s="478"/>
      <c r="J5" s="478"/>
      <c r="K5" s="478"/>
      <c r="L5" s="478"/>
      <c r="M5" s="478"/>
      <c r="N5" s="478"/>
      <c r="O5" s="478"/>
      <c r="P5" s="478"/>
      <c r="Q5" s="478"/>
      <c r="R5" s="478"/>
      <c r="S5" s="478"/>
      <c r="T5" s="478"/>
      <c r="U5" s="478"/>
      <c r="V5" s="478"/>
      <c r="W5" s="479"/>
      <c r="X5" s="480"/>
    </row>
    <row r="6" spans="1:24" ht="15.75" thickBot="1"/>
    <row r="7" spans="1:24" s="482" customFormat="1" ht="15" customHeight="1" thickBot="1">
      <c r="C7" s="1183" t="s">
        <v>215</v>
      </c>
      <c r="D7" s="1184"/>
      <c r="E7" s="1184"/>
      <c r="F7" s="1185"/>
      <c r="G7" s="1186" t="s">
        <v>486</v>
      </c>
      <c r="H7" s="1186"/>
      <c r="I7" s="1187"/>
      <c r="J7" s="1188" t="s">
        <v>218</v>
      </c>
      <c r="K7" s="1189"/>
      <c r="L7" s="1189"/>
      <c r="M7" s="1190"/>
      <c r="R7" s="1183" t="s">
        <v>487</v>
      </c>
      <c r="S7" s="1184"/>
      <c r="T7" s="1184"/>
      <c r="U7" s="1184"/>
      <c r="V7" s="1185"/>
      <c r="W7" s="1160" t="s">
        <v>488</v>
      </c>
      <c r="X7" s="1161"/>
    </row>
    <row r="8" spans="1:24" s="501" customFormat="1" ht="50.25" customHeight="1">
      <c r="A8" s="483" t="s">
        <v>222</v>
      </c>
      <c r="B8" s="484" t="s">
        <v>224</v>
      </c>
      <c r="C8" s="485" t="s">
        <v>225</v>
      </c>
      <c r="D8" s="486" t="s">
        <v>226</v>
      </c>
      <c r="E8" s="487" t="s">
        <v>227</v>
      </c>
      <c r="F8" s="488" t="s">
        <v>228</v>
      </c>
      <c r="G8" s="489" t="s">
        <v>229</v>
      </c>
      <c r="H8" s="490" t="s">
        <v>230</v>
      </c>
      <c r="I8" s="491" t="s">
        <v>231</v>
      </c>
      <c r="J8" s="492" t="s">
        <v>489</v>
      </c>
      <c r="K8" s="492" t="s">
        <v>229</v>
      </c>
      <c r="L8" s="493" t="s">
        <v>230</v>
      </c>
      <c r="M8" s="494" t="s">
        <v>231</v>
      </c>
      <c r="N8" s="495" t="s">
        <v>490</v>
      </c>
      <c r="O8" s="496" t="s">
        <v>491</v>
      </c>
      <c r="P8" s="497" t="s">
        <v>237</v>
      </c>
      <c r="Q8" s="497" t="s">
        <v>492</v>
      </c>
      <c r="R8" s="485" t="s">
        <v>493</v>
      </c>
      <c r="S8" s="485" t="s">
        <v>494</v>
      </c>
      <c r="T8" s="486" t="s">
        <v>495</v>
      </c>
      <c r="U8" s="486" t="s">
        <v>496</v>
      </c>
      <c r="V8" s="498" t="s">
        <v>497</v>
      </c>
      <c r="W8" s="499" t="s">
        <v>498</v>
      </c>
      <c r="X8" s="500" t="s">
        <v>499</v>
      </c>
    </row>
    <row r="9" spans="1:24">
      <c r="A9" s="502">
        <v>44562</v>
      </c>
      <c r="B9" s="503">
        <v>150</v>
      </c>
      <c r="C9" s="504">
        <v>0</v>
      </c>
      <c r="D9" s="505">
        <v>0</v>
      </c>
      <c r="E9" s="505">
        <v>1</v>
      </c>
      <c r="F9" s="506">
        <v>1</v>
      </c>
      <c r="G9" s="507">
        <v>8</v>
      </c>
      <c r="H9" s="505">
        <v>0</v>
      </c>
      <c r="I9" s="508">
        <f>G9+H9</f>
        <v>8</v>
      </c>
      <c r="J9" s="504">
        <v>2</v>
      </c>
      <c r="K9" s="507">
        <v>23</v>
      </c>
      <c r="L9" s="505">
        <v>0</v>
      </c>
      <c r="M9" s="508">
        <f>K9+L9</f>
        <v>23</v>
      </c>
      <c r="N9" s="507">
        <v>20</v>
      </c>
      <c r="O9" s="505">
        <v>8</v>
      </c>
      <c r="P9" s="503">
        <v>31</v>
      </c>
      <c r="Q9" s="509">
        <f>(N9*O9*B9)-(P9*O9)</f>
        <v>23752</v>
      </c>
      <c r="R9" s="510">
        <f>(E9*240000)/Q9</f>
        <v>10.104412260020208</v>
      </c>
      <c r="S9" s="511">
        <f>(F9*240000)/Q9</f>
        <v>10.104412260020208</v>
      </c>
      <c r="T9" s="512">
        <f>(I9/Q9)*240000</f>
        <v>80.835298080161664</v>
      </c>
      <c r="U9" s="512">
        <f>(R9*T9)/1000</f>
        <v>0.81679317696357345</v>
      </c>
      <c r="V9" s="513">
        <f>E9/B9</f>
        <v>6.6666666666666671E-3</v>
      </c>
      <c r="W9" s="510">
        <f>(J9*240000)/Q9</f>
        <v>20.208824520040416</v>
      </c>
      <c r="X9" s="513">
        <f>(M9*240000)/Q9</f>
        <v>232.40148198046481</v>
      </c>
    </row>
    <row r="10" spans="1:24">
      <c r="A10" s="514">
        <v>44593</v>
      </c>
      <c r="B10" s="515">
        <v>150</v>
      </c>
      <c r="C10" s="516">
        <v>0</v>
      </c>
      <c r="D10" s="517">
        <v>0</v>
      </c>
      <c r="E10" s="517">
        <v>1</v>
      </c>
      <c r="F10" s="518">
        <v>1</v>
      </c>
      <c r="G10" s="519">
        <v>2</v>
      </c>
      <c r="H10" s="517">
        <v>0</v>
      </c>
      <c r="I10" s="520">
        <f t="shared" ref="I10:I21" si="0">G10+H10</f>
        <v>2</v>
      </c>
      <c r="J10" s="516">
        <v>1</v>
      </c>
      <c r="K10" s="519">
        <v>20</v>
      </c>
      <c r="L10" s="517">
        <v>0</v>
      </c>
      <c r="M10" s="520">
        <f t="shared" ref="M10:M21" si="1">K10+L10</f>
        <v>20</v>
      </c>
      <c r="N10" s="519">
        <v>20</v>
      </c>
      <c r="O10" s="517">
        <v>8</v>
      </c>
      <c r="P10" s="515">
        <v>22</v>
      </c>
      <c r="Q10" s="521">
        <f t="shared" ref="Q10:Q20" si="2">(N10*O10*B10)-(P10*O10)</f>
        <v>23824</v>
      </c>
      <c r="R10" s="522">
        <f t="shared" ref="R10:R20" si="3">(E10*240000)/Q10</f>
        <v>10.073875083948959</v>
      </c>
      <c r="S10" s="523">
        <f t="shared" ref="S10:S21" si="4">(F10*240000)/Q10</f>
        <v>10.073875083948959</v>
      </c>
      <c r="T10" s="524">
        <f t="shared" ref="T10:T21" si="5">(I10/Q10)*240000</f>
        <v>20.147750167897918</v>
      </c>
      <c r="U10" s="524">
        <f t="shared" ref="U10:U21" si="6">(R10*T10)/1000</f>
        <v>0.20296591841401532</v>
      </c>
      <c r="V10" s="525">
        <f t="shared" ref="V10:V21" si="7">E10/B10</f>
        <v>6.6666666666666671E-3</v>
      </c>
      <c r="W10" s="522">
        <f t="shared" ref="W10:W21" si="8">I10*240000*Q10</f>
        <v>11435520000</v>
      </c>
      <c r="X10" s="525">
        <f t="shared" ref="X10:X21" si="9">(M10*240000)/Q10</f>
        <v>201.47750167897919</v>
      </c>
    </row>
    <row r="11" spans="1:24">
      <c r="A11" s="502">
        <v>44621</v>
      </c>
      <c r="B11" s="503">
        <v>150</v>
      </c>
      <c r="C11" s="526">
        <v>0</v>
      </c>
      <c r="D11" s="527">
        <v>0</v>
      </c>
      <c r="E11" s="527">
        <v>0</v>
      </c>
      <c r="F11" s="528">
        <v>0</v>
      </c>
      <c r="G11" s="529">
        <v>0</v>
      </c>
      <c r="H11" s="527">
        <v>0</v>
      </c>
      <c r="I11" s="508">
        <f t="shared" si="0"/>
        <v>0</v>
      </c>
      <c r="J11" s="504">
        <v>1</v>
      </c>
      <c r="K11" s="529">
        <v>23</v>
      </c>
      <c r="L11" s="527">
        <v>0</v>
      </c>
      <c r="M11" s="508">
        <f t="shared" si="1"/>
        <v>23</v>
      </c>
      <c r="N11" s="507">
        <v>23</v>
      </c>
      <c r="O11" s="505">
        <v>8</v>
      </c>
      <c r="P11" s="503">
        <v>23</v>
      </c>
      <c r="Q11" s="509">
        <f t="shared" si="2"/>
        <v>27416</v>
      </c>
      <c r="R11" s="510">
        <f>(E11*240000)/Q11</f>
        <v>0</v>
      </c>
      <c r="S11" s="511">
        <f t="shared" si="4"/>
        <v>0</v>
      </c>
      <c r="T11" s="512">
        <f t="shared" si="5"/>
        <v>0</v>
      </c>
      <c r="U11" s="512">
        <f t="shared" si="6"/>
        <v>0</v>
      </c>
      <c r="V11" s="513">
        <f t="shared" si="7"/>
        <v>0</v>
      </c>
      <c r="W11" s="510">
        <f t="shared" si="8"/>
        <v>0</v>
      </c>
      <c r="X11" s="513">
        <f t="shared" si="9"/>
        <v>201.34228187919464</v>
      </c>
    </row>
    <row r="12" spans="1:24">
      <c r="A12" s="514">
        <v>44652</v>
      </c>
      <c r="B12" s="515">
        <v>150</v>
      </c>
      <c r="C12" s="516">
        <v>0</v>
      </c>
      <c r="D12" s="517">
        <v>0</v>
      </c>
      <c r="E12" s="517">
        <v>0</v>
      </c>
      <c r="F12" s="518">
        <v>0</v>
      </c>
      <c r="G12" s="519">
        <v>0</v>
      </c>
      <c r="H12" s="517">
        <v>0</v>
      </c>
      <c r="I12" s="520">
        <f t="shared" si="0"/>
        <v>0</v>
      </c>
      <c r="J12" s="516">
        <v>1</v>
      </c>
      <c r="K12" s="519">
        <v>16</v>
      </c>
      <c r="L12" s="517">
        <v>0</v>
      </c>
      <c r="M12" s="520">
        <f t="shared" si="1"/>
        <v>16</v>
      </c>
      <c r="N12" s="519">
        <v>16</v>
      </c>
      <c r="O12" s="517">
        <v>8</v>
      </c>
      <c r="P12" s="515">
        <v>16</v>
      </c>
      <c r="Q12" s="521">
        <f t="shared" si="2"/>
        <v>19072</v>
      </c>
      <c r="R12" s="522">
        <f t="shared" si="3"/>
        <v>0</v>
      </c>
      <c r="S12" s="523">
        <f t="shared" si="4"/>
        <v>0</v>
      </c>
      <c r="T12" s="524">
        <f t="shared" si="5"/>
        <v>0</v>
      </c>
      <c r="U12" s="524">
        <f t="shared" si="6"/>
        <v>0</v>
      </c>
      <c r="V12" s="525">
        <f t="shared" si="7"/>
        <v>0</v>
      </c>
      <c r="W12" s="522">
        <f t="shared" si="8"/>
        <v>0</v>
      </c>
      <c r="X12" s="525">
        <f t="shared" si="9"/>
        <v>201.34228187919464</v>
      </c>
    </row>
    <row r="13" spans="1:24">
      <c r="A13" s="502">
        <v>44682</v>
      </c>
      <c r="B13" s="503">
        <v>150</v>
      </c>
      <c r="C13" s="526">
        <v>0</v>
      </c>
      <c r="D13" s="527">
        <v>0</v>
      </c>
      <c r="E13" s="527">
        <v>0</v>
      </c>
      <c r="F13" s="528">
        <v>0</v>
      </c>
      <c r="G13" s="529">
        <v>0</v>
      </c>
      <c r="H13" s="527">
        <v>0</v>
      </c>
      <c r="I13" s="508">
        <f t="shared" si="0"/>
        <v>0</v>
      </c>
      <c r="J13" s="504">
        <v>1</v>
      </c>
      <c r="K13" s="529">
        <v>21</v>
      </c>
      <c r="L13" s="527">
        <v>0</v>
      </c>
      <c r="M13" s="508">
        <f t="shared" si="1"/>
        <v>21</v>
      </c>
      <c r="N13" s="507">
        <v>21</v>
      </c>
      <c r="O13" s="505">
        <v>8</v>
      </c>
      <c r="P13" s="503">
        <v>21</v>
      </c>
      <c r="Q13" s="509">
        <f t="shared" si="2"/>
        <v>25032</v>
      </c>
      <c r="R13" s="510">
        <f t="shared" si="3"/>
        <v>0</v>
      </c>
      <c r="S13" s="511">
        <f t="shared" si="4"/>
        <v>0</v>
      </c>
      <c r="T13" s="512">
        <f t="shared" si="5"/>
        <v>0</v>
      </c>
      <c r="U13" s="512">
        <f t="shared" si="6"/>
        <v>0</v>
      </c>
      <c r="V13" s="513">
        <f t="shared" si="7"/>
        <v>0</v>
      </c>
      <c r="W13" s="510">
        <f t="shared" si="8"/>
        <v>0</v>
      </c>
      <c r="X13" s="513">
        <f t="shared" si="9"/>
        <v>201.34228187919464</v>
      </c>
    </row>
    <row r="14" spans="1:24">
      <c r="A14" s="514">
        <v>44713</v>
      </c>
      <c r="B14" s="515">
        <v>150</v>
      </c>
      <c r="C14" s="516">
        <v>0</v>
      </c>
      <c r="D14" s="517">
        <v>0</v>
      </c>
      <c r="E14" s="517">
        <v>0</v>
      </c>
      <c r="F14" s="518">
        <v>0</v>
      </c>
      <c r="G14" s="519">
        <v>0</v>
      </c>
      <c r="H14" s="517">
        <v>0</v>
      </c>
      <c r="I14" s="520">
        <f t="shared" si="0"/>
        <v>0</v>
      </c>
      <c r="J14" s="516">
        <v>2</v>
      </c>
      <c r="K14" s="519">
        <v>20</v>
      </c>
      <c r="L14" s="517">
        <v>0</v>
      </c>
      <c r="M14" s="520">
        <f t="shared" si="1"/>
        <v>20</v>
      </c>
      <c r="N14" s="519">
        <v>20</v>
      </c>
      <c r="O14" s="517">
        <v>8</v>
      </c>
      <c r="P14" s="515">
        <v>23</v>
      </c>
      <c r="Q14" s="521">
        <f t="shared" si="2"/>
        <v>23816</v>
      </c>
      <c r="R14" s="522">
        <f t="shared" si="3"/>
        <v>0</v>
      </c>
      <c r="S14" s="523">
        <f t="shared" si="4"/>
        <v>0</v>
      </c>
      <c r="T14" s="524">
        <f t="shared" si="5"/>
        <v>0</v>
      </c>
      <c r="U14" s="524">
        <f t="shared" si="6"/>
        <v>0</v>
      </c>
      <c r="V14" s="525">
        <f t="shared" si="7"/>
        <v>0</v>
      </c>
      <c r="W14" s="522">
        <f t="shared" si="8"/>
        <v>0</v>
      </c>
      <c r="X14" s="525">
        <f t="shared" si="9"/>
        <v>201.54517971111858</v>
      </c>
    </row>
    <row r="15" spans="1:24">
      <c r="A15" s="530">
        <v>44743</v>
      </c>
      <c r="B15" s="503"/>
      <c r="C15" s="526"/>
      <c r="D15" s="527"/>
      <c r="E15" s="527"/>
      <c r="F15" s="528"/>
      <c r="G15" s="529"/>
      <c r="H15" s="527"/>
      <c r="I15" s="508">
        <f t="shared" si="0"/>
        <v>0</v>
      </c>
      <c r="J15" s="504"/>
      <c r="K15" s="529"/>
      <c r="L15" s="527"/>
      <c r="M15" s="508">
        <f t="shared" si="1"/>
        <v>0</v>
      </c>
      <c r="N15" s="507"/>
      <c r="O15" s="505"/>
      <c r="P15" s="503"/>
      <c r="Q15" s="509">
        <f t="shared" si="2"/>
        <v>0</v>
      </c>
      <c r="R15" s="510" t="e">
        <f t="shared" si="3"/>
        <v>#DIV/0!</v>
      </c>
      <c r="S15" s="511" t="e">
        <f t="shared" si="4"/>
        <v>#DIV/0!</v>
      </c>
      <c r="T15" s="512" t="e">
        <f t="shared" si="5"/>
        <v>#DIV/0!</v>
      </c>
      <c r="U15" s="512" t="e">
        <f t="shared" si="6"/>
        <v>#DIV/0!</v>
      </c>
      <c r="V15" s="513" t="e">
        <f t="shared" si="7"/>
        <v>#DIV/0!</v>
      </c>
      <c r="W15" s="510">
        <f t="shared" si="8"/>
        <v>0</v>
      </c>
      <c r="X15" s="513" t="e">
        <f t="shared" si="9"/>
        <v>#DIV/0!</v>
      </c>
    </row>
    <row r="16" spans="1:24">
      <c r="A16" s="514">
        <v>44774</v>
      </c>
      <c r="B16" s="515"/>
      <c r="C16" s="516"/>
      <c r="D16" s="517"/>
      <c r="E16" s="517"/>
      <c r="F16" s="518"/>
      <c r="G16" s="519"/>
      <c r="H16" s="517"/>
      <c r="I16" s="520">
        <f t="shared" si="0"/>
        <v>0</v>
      </c>
      <c r="J16" s="516"/>
      <c r="K16" s="519"/>
      <c r="L16" s="517"/>
      <c r="M16" s="520">
        <f t="shared" si="1"/>
        <v>0</v>
      </c>
      <c r="N16" s="519"/>
      <c r="O16" s="517"/>
      <c r="P16" s="515"/>
      <c r="Q16" s="521">
        <f t="shared" si="2"/>
        <v>0</v>
      </c>
      <c r="R16" s="522" t="e">
        <f t="shared" si="3"/>
        <v>#DIV/0!</v>
      </c>
      <c r="S16" s="523" t="e">
        <f t="shared" si="4"/>
        <v>#DIV/0!</v>
      </c>
      <c r="T16" s="524" t="e">
        <f t="shared" si="5"/>
        <v>#DIV/0!</v>
      </c>
      <c r="U16" s="524" t="e">
        <f t="shared" si="6"/>
        <v>#DIV/0!</v>
      </c>
      <c r="V16" s="525" t="e">
        <f t="shared" si="7"/>
        <v>#DIV/0!</v>
      </c>
      <c r="W16" s="522">
        <f t="shared" si="8"/>
        <v>0</v>
      </c>
      <c r="X16" s="525" t="e">
        <f t="shared" si="9"/>
        <v>#DIV/0!</v>
      </c>
    </row>
    <row r="17" spans="1:24">
      <c r="A17" s="531">
        <v>44805</v>
      </c>
      <c r="B17" s="503"/>
      <c r="C17" s="504"/>
      <c r="D17" s="505"/>
      <c r="E17" s="505"/>
      <c r="F17" s="532"/>
      <c r="G17" s="507"/>
      <c r="H17" s="505"/>
      <c r="I17" s="508">
        <f t="shared" si="0"/>
        <v>0</v>
      </c>
      <c r="J17" s="504"/>
      <c r="K17" s="507"/>
      <c r="L17" s="505"/>
      <c r="M17" s="508">
        <f t="shared" si="1"/>
        <v>0</v>
      </c>
      <c r="N17" s="507"/>
      <c r="O17" s="505"/>
      <c r="P17" s="503"/>
      <c r="Q17" s="509">
        <f t="shared" si="2"/>
        <v>0</v>
      </c>
      <c r="R17" s="510" t="e">
        <f t="shared" si="3"/>
        <v>#DIV/0!</v>
      </c>
      <c r="S17" s="511" t="e">
        <f t="shared" si="4"/>
        <v>#DIV/0!</v>
      </c>
      <c r="T17" s="512" t="e">
        <f t="shared" si="5"/>
        <v>#DIV/0!</v>
      </c>
      <c r="U17" s="512" t="e">
        <f t="shared" si="6"/>
        <v>#DIV/0!</v>
      </c>
      <c r="V17" s="513" t="e">
        <f t="shared" si="7"/>
        <v>#DIV/0!</v>
      </c>
      <c r="W17" s="510">
        <f t="shared" si="8"/>
        <v>0</v>
      </c>
      <c r="X17" s="513" t="e">
        <f t="shared" si="9"/>
        <v>#DIV/0!</v>
      </c>
    </row>
    <row r="18" spans="1:24">
      <c r="A18" s="533">
        <v>44835</v>
      </c>
      <c r="B18" s="515"/>
      <c r="C18" s="516"/>
      <c r="D18" s="517"/>
      <c r="E18" s="517"/>
      <c r="F18" s="518"/>
      <c r="G18" s="519"/>
      <c r="H18" s="517"/>
      <c r="I18" s="520">
        <f t="shared" si="0"/>
        <v>0</v>
      </c>
      <c r="J18" s="516"/>
      <c r="K18" s="519"/>
      <c r="L18" s="517"/>
      <c r="M18" s="520">
        <f t="shared" si="1"/>
        <v>0</v>
      </c>
      <c r="N18" s="519"/>
      <c r="O18" s="517"/>
      <c r="P18" s="515"/>
      <c r="Q18" s="521">
        <f t="shared" si="2"/>
        <v>0</v>
      </c>
      <c r="R18" s="522" t="e">
        <f t="shared" si="3"/>
        <v>#DIV/0!</v>
      </c>
      <c r="S18" s="523" t="e">
        <f t="shared" si="4"/>
        <v>#DIV/0!</v>
      </c>
      <c r="T18" s="524" t="e">
        <f t="shared" si="5"/>
        <v>#DIV/0!</v>
      </c>
      <c r="U18" s="524" t="e">
        <f t="shared" si="6"/>
        <v>#DIV/0!</v>
      </c>
      <c r="V18" s="525" t="e">
        <f t="shared" si="7"/>
        <v>#DIV/0!</v>
      </c>
      <c r="W18" s="522">
        <f t="shared" si="8"/>
        <v>0</v>
      </c>
      <c r="X18" s="525" t="e">
        <f t="shared" si="9"/>
        <v>#DIV/0!</v>
      </c>
    </row>
    <row r="19" spans="1:24">
      <c r="A19" s="531">
        <v>44866</v>
      </c>
      <c r="B19" s="503"/>
      <c r="C19" s="504"/>
      <c r="D19" s="505"/>
      <c r="E19" s="505"/>
      <c r="F19" s="532"/>
      <c r="G19" s="507"/>
      <c r="H19" s="505"/>
      <c r="I19" s="508">
        <f t="shared" si="0"/>
        <v>0</v>
      </c>
      <c r="J19" s="504"/>
      <c r="K19" s="507"/>
      <c r="L19" s="505"/>
      <c r="M19" s="508">
        <f t="shared" si="1"/>
        <v>0</v>
      </c>
      <c r="N19" s="507"/>
      <c r="O19" s="505"/>
      <c r="P19" s="503"/>
      <c r="Q19" s="509">
        <f t="shared" si="2"/>
        <v>0</v>
      </c>
      <c r="R19" s="510" t="e">
        <f t="shared" si="3"/>
        <v>#DIV/0!</v>
      </c>
      <c r="S19" s="511" t="e">
        <f t="shared" si="4"/>
        <v>#DIV/0!</v>
      </c>
      <c r="T19" s="512" t="e">
        <f t="shared" si="5"/>
        <v>#DIV/0!</v>
      </c>
      <c r="U19" s="512" t="e">
        <f t="shared" si="6"/>
        <v>#DIV/0!</v>
      </c>
      <c r="V19" s="513" t="e">
        <f t="shared" si="7"/>
        <v>#DIV/0!</v>
      </c>
      <c r="W19" s="510">
        <f t="shared" si="8"/>
        <v>0</v>
      </c>
      <c r="X19" s="513" t="e">
        <f t="shared" si="9"/>
        <v>#DIV/0!</v>
      </c>
    </row>
    <row r="20" spans="1:24">
      <c r="A20" s="533">
        <v>44896</v>
      </c>
      <c r="B20" s="515"/>
      <c r="C20" s="516"/>
      <c r="D20" s="517"/>
      <c r="E20" s="517"/>
      <c r="F20" s="534"/>
      <c r="G20" s="519"/>
      <c r="H20" s="517"/>
      <c r="I20" s="520">
        <f t="shared" si="0"/>
        <v>0</v>
      </c>
      <c r="J20" s="516"/>
      <c r="K20" s="519"/>
      <c r="L20" s="517"/>
      <c r="M20" s="520">
        <f t="shared" si="1"/>
        <v>0</v>
      </c>
      <c r="N20" s="519"/>
      <c r="O20" s="517"/>
      <c r="P20" s="515"/>
      <c r="Q20" s="521">
        <f t="shared" si="2"/>
        <v>0</v>
      </c>
      <c r="R20" s="522" t="e">
        <f t="shared" si="3"/>
        <v>#DIV/0!</v>
      </c>
      <c r="S20" s="523" t="e">
        <f t="shared" si="4"/>
        <v>#DIV/0!</v>
      </c>
      <c r="T20" s="524" t="e">
        <f t="shared" si="5"/>
        <v>#DIV/0!</v>
      </c>
      <c r="U20" s="524" t="e">
        <f t="shared" si="6"/>
        <v>#DIV/0!</v>
      </c>
      <c r="V20" s="525" t="e">
        <f t="shared" si="7"/>
        <v>#DIV/0!</v>
      </c>
      <c r="W20" s="522">
        <f t="shared" si="8"/>
        <v>0</v>
      </c>
      <c r="X20" s="525" t="e">
        <f t="shared" si="9"/>
        <v>#DIV/0!</v>
      </c>
    </row>
    <row r="21" spans="1:24" s="542" customFormat="1" ht="15.75" thickBot="1">
      <c r="A21" s="535" t="s">
        <v>500</v>
      </c>
      <c r="B21" s="536">
        <f>AVERAGE(B9:B20)</f>
        <v>150</v>
      </c>
      <c r="C21" s="537"/>
      <c r="D21" s="538"/>
      <c r="E21" s="538">
        <f>SUM(E9:E20)</f>
        <v>2</v>
      </c>
      <c r="F21" s="538">
        <f>SUM(F9:F20)</f>
        <v>2</v>
      </c>
      <c r="G21" s="538">
        <f t="shared" ref="G21:H21" si="10">SUM(G9:G20)</f>
        <v>10</v>
      </c>
      <c r="H21" s="538">
        <f t="shared" si="10"/>
        <v>0</v>
      </c>
      <c r="I21" s="539">
        <f t="shared" si="0"/>
        <v>10</v>
      </c>
      <c r="J21" s="537"/>
      <c r="K21" s="540"/>
      <c r="L21" s="538"/>
      <c r="M21" s="539">
        <f t="shared" si="1"/>
        <v>0</v>
      </c>
      <c r="N21" s="540"/>
      <c r="O21" s="538"/>
      <c r="P21" s="536"/>
      <c r="Q21" s="536">
        <f>SUM(Q9:Q20)</f>
        <v>142912</v>
      </c>
      <c r="R21" s="537">
        <f>(E21*240000)/Q21</f>
        <v>3.3587102552619794</v>
      </c>
      <c r="S21" s="540">
        <f t="shared" si="4"/>
        <v>3.3587102552619794</v>
      </c>
      <c r="T21" s="538">
        <f t="shared" si="5"/>
        <v>16.793551276309895</v>
      </c>
      <c r="U21" s="538">
        <f t="shared" si="6"/>
        <v>5.6404672894009945E-2</v>
      </c>
      <c r="V21" s="541">
        <f t="shared" si="7"/>
        <v>1.3333333333333334E-2</v>
      </c>
      <c r="W21" s="537">
        <f t="shared" si="8"/>
        <v>342988800000</v>
      </c>
      <c r="X21" s="541">
        <f t="shared" si="9"/>
        <v>0</v>
      </c>
    </row>
    <row r="23" spans="1:24" ht="15.75" thickBot="1"/>
    <row r="24" spans="1:24" ht="15.75" thickBot="1">
      <c r="A24" s="1162" t="s">
        <v>501</v>
      </c>
      <c r="B24" s="1163"/>
      <c r="C24" s="1163"/>
      <c r="D24" s="1163"/>
      <c r="E24" s="1163"/>
      <c r="F24" s="1163"/>
      <c r="G24" s="1163"/>
      <c r="H24" s="1164"/>
    </row>
    <row r="25" spans="1:24" ht="14.45" customHeight="1">
      <c r="A25" s="1165" t="s">
        <v>502</v>
      </c>
      <c r="B25" s="1166"/>
      <c r="C25" s="1166"/>
      <c r="D25" s="1166"/>
      <c r="E25" s="1166"/>
      <c r="F25" s="1166"/>
      <c r="G25" s="1166"/>
      <c r="H25" s="1167"/>
      <c r="I25" s="140"/>
      <c r="J25" s="140"/>
      <c r="K25" s="140"/>
      <c r="L25" s="140"/>
      <c r="M25" s="140"/>
      <c r="N25" s="140"/>
      <c r="O25" s="140"/>
      <c r="P25" s="140"/>
      <c r="Q25" s="140"/>
      <c r="R25" s="140"/>
      <c r="S25" s="140"/>
      <c r="T25" s="140"/>
      <c r="U25" s="140"/>
      <c r="V25" s="140"/>
      <c r="W25" s="140"/>
    </row>
    <row r="26" spans="1:24" ht="14.45" customHeight="1">
      <c r="A26" s="1151" t="s">
        <v>503</v>
      </c>
      <c r="B26" s="1152"/>
      <c r="C26" s="1152"/>
      <c r="D26" s="1152"/>
      <c r="E26" s="1152"/>
      <c r="F26" s="1152"/>
      <c r="G26" s="1152"/>
      <c r="H26" s="1153"/>
      <c r="I26" s="140"/>
      <c r="J26" s="140"/>
      <c r="K26" s="140"/>
      <c r="L26" s="140"/>
      <c r="M26" s="140"/>
      <c r="N26" s="140"/>
      <c r="O26" s="140"/>
      <c r="P26" s="140"/>
      <c r="Q26" s="140"/>
      <c r="R26" s="140"/>
      <c r="S26" s="140"/>
      <c r="T26" s="140"/>
      <c r="U26" s="140"/>
      <c r="V26" s="140"/>
      <c r="W26" s="140"/>
    </row>
    <row r="27" spans="1:24" ht="14.45" customHeight="1">
      <c r="A27" s="1151" t="s">
        <v>504</v>
      </c>
      <c r="B27" s="1152"/>
      <c r="C27" s="1152"/>
      <c r="D27" s="1152"/>
      <c r="E27" s="1152"/>
      <c r="F27" s="1152"/>
      <c r="G27" s="1152"/>
      <c r="H27" s="1153"/>
      <c r="I27" s="140"/>
      <c r="J27" s="140"/>
      <c r="K27" s="140"/>
      <c r="L27" s="140"/>
      <c r="M27" s="140"/>
      <c r="N27" s="140"/>
      <c r="O27" s="140"/>
      <c r="P27" s="140"/>
      <c r="Q27" s="140"/>
      <c r="R27" s="140"/>
      <c r="S27" s="140"/>
      <c r="T27" s="140"/>
      <c r="U27" s="140"/>
      <c r="V27" s="140"/>
      <c r="W27" s="140"/>
    </row>
    <row r="28" spans="1:24" ht="14.45" customHeight="1">
      <c r="A28" s="1151" t="s">
        <v>505</v>
      </c>
      <c r="B28" s="1152"/>
      <c r="C28" s="1152"/>
      <c r="D28" s="1152"/>
      <c r="E28" s="1152"/>
      <c r="F28" s="1152"/>
      <c r="G28" s="1152"/>
      <c r="H28" s="1153"/>
      <c r="I28" s="140"/>
      <c r="J28" s="140"/>
      <c r="K28" s="140"/>
      <c r="L28" s="140"/>
      <c r="M28" s="140"/>
      <c r="N28" s="140"/>
      <c r="O28" s="140"/>
      <c r="P28" s="140"/>
      <c r="Q28" s="140"/>
      <c r="R28" s="140"/>
      <c r="S28" s="140"/>
      <c r="T28" s="140"/>
      <c r="U28" s="140"/>
      <c r="V28" s="140"/>
      <c r="W28" s="140"/>
    </row>
    <row r="29" spans="1:24">
      <c r="A29" s="1151" t="s">
        <v>506</v>
      </c>
      <c r="B29" s="1152"/>
      <c r="C29" s="1152"/>
      <c r="D29" s="1152"/>
      <c r="E29" s="1152"/>
      <c r="F29" s="1152"/>
      <c r="G29" s="1152"/>
      <c r="H29" s="1153"/>
      <c r="I29" s="157"/>
      <c r="J29" s="157"/>
      <c r="K29" s="157"/>
      <c r="L29" s="157"/>
      <c r="M29" s="157"/>
      <c r="N29" s="157"/>
      <c r="O29" s="157"/>
      <c r="P29" s="157"/>
      <c r="Q29" s="157"/>
      <c r="R29" s="157"/>
      <c r="S29" s="157"/>
      <c r="T29" s="157"/>
      <c r="U29" s="157"/>
      <c r="V29" s="157"/>
      <c r="W29" s="157"/>
    </row>
    <row r="30" spans="1:24" ht="14.45" customHeight="1">
      <c r="A30" s="1151" t="s">
        <v>507</v>
      </c>
      <c r="B30" s="1152"/>
      <c r="C30" s="1152"/>
      <c r="D30" s="1152"/>
      <c r="E30" s="1152"/>
      <c r="F30" s="1152"/>
      <c r="G30" s="1152"/>
      <c r="H30" s="1153"/>
      <c r="I30" s="157"/>
      <c r="J30" s="157"/>
      <c r="K30" s="157"/>
      <c r="L30" s="157"/>
      <c r="M30" s="157"/>
      <c r="N30" s="157"/>
      <c r="O30" s="157"/>
      <c r="P30" s="157"/>
      <c r="Q30" s="157"/>
      <c r="R30" s="157"/>
      <c r="S30" s="157"/>
      <c r="T30" s="157"/>
      <c r="U30" s="157"/>
      <c r="V30" s="157"/>
      <c r="W30" s="157"/>
    </row>
    <row r="31" spans="1:24" ht="15.75" thickBot="1">
      <c r="A31" s="1154" t="s">
        <v>508</v>
      </c>
      <c r="B31" s="1155"/>
      <c r="C31" s="1155"/>
      <c r="D31" s="1155"/>
      <c r="E31" s="1155"/>
      <c r="F31" s="1155"/>
      <c r="G31" s="1155"/>
      <c r="H31" s="1156"/>
      <c r="I31" s="157"/>
      <c r="J31" s="157"/>
      <c r="K31" s="157"/>
      <c r="L31" s="157"/>
      <c r="M31" s="157"/>
      <c r="N31" s="157"/>
      <c r="O31" s="157"/>
      <c r="P31" s="157"/>
      <c r="Q31" s="157"/>
      <c r="R31" s="157"/>
      <c r="S31" s="157"/>
      <c r="T31" s="157"/>
      <c r="U31" s="157"/>
      <c r="V31" s="157"/>
      <c r="W31" s="157"/>
    </row>
    <row r="55" spans="1:13" ht="15.75" thickBot="1"/>
    <row r="56" spans="1:13" ht="15.75" thickBot="1">
      <c r="A56" s="1157" t="s">
        <v>509</v>
      </c>
      <c r="B56" s="1158"/>
      <c r="C56" s="1158"/>
      <c r="D56" s="1158"/>
      <c r="E56" s="1158"/>
      <c r="F56" s="1158"/>
      <c r="G56" s="1158"/>
      <c r="H56" s="1158"/>
      <c r="I56" s="1158"/>
      <c r="J56" s="1158"/>
      <c r="K56" s="1158"/>
      <c r="L56" s="1158"/>
      <c r="M56" s="1159"/>
    </row>
    <row r="57" spans="1:13" ht="15.75" thickBot="1">
      <c r="A57" s="1140" t="s">
        <v>510</v>
      </c>
      <c r="B57" s="1141"/>
      <c r="C57" s="1141"/>
      <c r="D57" s="1141"/>
      <c r="E57" s="1141"/>
      <c r="F57" s="1141"/>
      <c r="G57" s="1141"/>
      <c r="H57" s="1141"/>
      <c r="I57" s="1141"/>
      <c r="J57" s="1141"/>
      <c r="K57" s="1141"/>
      <c r="L57" s="1141"/>
      <c r="M57" s="1142"/>
    </row>
    <row r="58" spans="1:13" s="544" customFormat="1" ht="12">
      <c r="A58" s="1143" t="str">
        <f>B8</f>
        <v>Nº TRABAJADORES</v>
      </c>
      <c r="B58" s="1145" t="s">
        <v>511</v>
      </c>
      <c r="C58" s="1145"/>
      <c r="D58" s="1145"/>
      <c r="E58" s="543" t="s">
        <v>512</v>
      </c>
      <c r="F58" s="1146" t="s">
        <v>492</v>
      </c>
      <c r="G58" s="1148" t="s">
        <v>487</v>
      </c>
      <c r="H58" s="1148"/>
      <c r="I58" s="1148"/>
      <c r="J58" s="1148"/>
      <c r="K58" s="1148"/>
      <c r="L58" s="1149" t="s">
        <v>488</v>
      </c>
      <c r="M58" s="1150"/>
    </row>
    <row r="59" spans="1:13" s="548" customFormat="1" ht="60.75" customHeight="1">
      <c r="A59" s="1144"/>
      <c r="B59" s="545" t="s">
        <v>513</v>
      </c>
      <c r="C59" s="545" t="s">
        <v>514</v>
      </c>
      <c r="D59" s="545" t="s">
        <v>515</v>
      </c>
      <c r="E59" s="546" t="s">
        <v>516</v>
      </c>
      <c r="F59" s="1147"/>
      <c r="G59" s="545" t="s">
        <v>493</v>
      </c>
      <c r="H59" s="545" t="s">
        <v>494</v>
      </c>
      <c r="I59" s="545" t="s">
        <v>495</v>
      </c>
      <c r="J59" s="545" t="s">
        <v>496</v>
      </c>
      <c r="K59" s="545" t="s">
        <v>497</v>
      </c>
      <c r="L59" s="546" t="s">
        <v>498</v>
      </c>
      <c r="M59" s="547" t="s">
        <v>499</v>
      </c>
    </row>
    <row r="60" spans="1:13" s="553" customFormat="1" ht="15.75" thickBot="1">
      <c r="A60" s="549">
        <f>B21</f>
        <v>150</v>
      </c>
      <c r="B60" s="550">
        <f>E21</f>
        <v>2</v>
      </c>
      <c r="C60" s="550">
        <f>F21</f>
        <v>2</v>
      </c>
      <c r="D60" s="550">
        <f>I21</f>
        <v>10</v>
      </c>
      <c r="E60" s="550">
        <f>M21</f>
        <v>0</v>
      </c>
      <c r="F60" s="550">
        <f t="shared" ref="F60:M60" si="11">Q21</f>
        <v>142912</v>
      </c>
      <c r="G60" s="551">
        <f t="shared" si="11"/>
        <v>3.3587102552619794</v>
      </c>
      <c r="H60" s="550">
        <f t="shared" si="11"/>
        <v>3.3587102552619794</v>
      </c>
      <c r="I60" s="550">
        <f t="shared" si="11"/>
        <v>16.793551276309895</v>
      </c>
      <c r="J60" s="550">
        <f t="shared" si="11"/>
        <v>5.6404672894009945E-2</v>
      </c>
      <c r="K60" s="550">
        <f t="shared" si="11"/>
        <v>1.3333333333333334E-2</v>
      </c>
      <c r="L60" s="550">
        <f t="shared" si="11"/>
        <v>342988800000</v>
      </c>
      <c r="M60" s="552">
        <f t="shared" si="11"/>
        <v>0</v>
      </c>
    </row>
    <row r="61" spans="1:13" ht="15.75" thickBot="1">
      <c r="A61" s="1140" t="s">
        <v>517</v>
      </c>
      <c r="B61" s="1141"/>
      <c r="C61" s="1141"/>
      <c r="D61" s="1141"/>
      <c r="E61" s="1141"/>
      <c r="F61" s="1141"/>
      <c r="G61" s="1141"/>
      <c r="H61" s="1141"/>
      <c r="I61" s="1141"/>
      <c r="J61" s="1141"/>
      <c r="K61" s="1141"/>
      <c r="L61" s="1141"/>
      <c r="M61" s="1142"/>
    </row>
    <row r="62" spans="1:13" s="544" customFormat="1" ht="12">
      <c r="A62" s="1143" t="s">
        <v>224</v>
      </c>
      <c r="B62" s="1145" t="s">
        <v>511</v>
      </c>
      <c r="C62" s="1145"/>
      <c r="D62" s="1145"/>
      <c r="E62" s="543" t="s">
        <v>512</v>
      </c>
      <c r="F62" s="1146" t="s">
        <v>492</v>
      </c>
      <c r="G62" s="1148" t="s">
        <v>487</v>
      </c>
      <c r="H62" s="1148"/>
      <c r="I62" s="1148"/>
      <c r="J62" s="1148"/>
      <c r="K62" s="1148"/>
      <c r="L62" s="1149" t="s">
        <v>488</v>
      </c>
      <c r="M62" s="1150"/>
    </row>
    <row r="63" spans="1:13" s="548" customFormat="1" ht="67.5" customHeight="1">
      <c r="A63" s="1144"/>
      <c r="B63" s="545" t="s">
        <v>513</v>
      </c>
      <c r="C63" s="545" t="s">
        <v>514</v>
      </c>
      <c r="D63" s="545" t="s">
        <v>515</v>
      </c>
      <c r="E63" s="546" t="s">
        <v>516</v>
      </c>
      <c r="F63" s="1147"/>
      <c r="G63" s="545" t="s">
        <v>493</v>
      </c>
      <c r="H63" s="545" t="s">
        <v>494</v>
      </c>
      <c r="I63" s="545" t="s">
        <v>495</v>
      </c>
      <c r="J63" s="545" t="s">
        <v>496</v>
      </c>
      <c r="K63" s="545" t="s">
        <v>497</v>
      </c>
      <c r="L63" s="546" t="s">
        <v>498</v>
      </c>
      <c r="M63" s="547" t="s">
        <v>499</v>
      </c>
    </row>
    <row r="64" spans="1:13" ht="15.75" thickBot="1">
      <c r="A64" s="554"/>
      <c r="B64" s="555"/>
      <c r="C64" s="555"/>
      <c r="D64" s="555"/>
      <c r="E64" s="555"/>
      <c r="F64" s="555"/>
      <c r="G64" s="555">
        <v>500</v>
      </c>
      <c r="H64" s="555"/>
      <c r="I64" s="555"/>
      <c r="J64" s="555"/>
      <c r="K64" s="555"/>
      <c r="L64" s="555"/>
      <c r="M64" s="556"/>
    </row>
    <row r="65" spans="1:13">
      <c r="A65" s="1136" t="s">
        <v>518</v>
      </c>
      <c r="B65" s="1137"/>
      <c r="C65" s="1137"/>
      <c r="D65" s="1137"/>
      <c r="E65" s="1137"/>
      <c r="F65" s="557" t="s">
        <v>519</v>
      </c>
      <c r="G65" s="558">
        <f>+((G60*100/G64/100)-100%)</f>
        <v>-0.99328257948947607</v>
      </c>
      <c r="H65" s="559" t="e">
        <f t="shared" ref="H65:M65" si="12">+((H60*100/H64/100)-100%)</f>
        <v>#DIV/0!</v>
      </c>
      <c r="I65" s="559" t="e">
        <f t="shared" si="12"/>
        <v>#DIV/0!</v>
      </c>
      <c r="J65" s="559" t="e">
        <f t="shared" si="12"/>
        <v>#DIV/0!</v>
      </c>
      <c r="K65" s="559" t="e">
        <f t="shared" si="12"/>
        <v>#DIV/0!</v>
      </c>
      <c r="L65" s="559" t="e">
        <f t="shared" si="12"/>
        <v>#DIV/0!</v>
      </c>
      <c r="M65" s="559" t="e">
        <f t="shared" si="12"/>
        <v>#DIV/0!</v>
      </c>
    </row>
    <row r="66" spans="1:13" ht="15.75" thickBot="1">
      <c r="A66" s="1138"/>
      <c r="B66" s="1139"/>
      <c r="C66" s="1139"/>
      <c r="D66" s="1139"/>
      <c r="E66" s="1139"/>
      <c r="F66" s="560" t="s">
        <v>520</v>
      </c>
      <c r="G66" s="560" t="str">
        <f>+IF((10%)&lt;G65,"NO LOGRADO","LOGRADO")</f>
        <v>LOGRADO</v>
      </c>
      <c r="H66" s="560" t="e">
        <f t="shared" ref="H66:M66" si="13">+IF((10%)&lt;H65,"NO LOGRADO","LOGRADO")</f>
        <v>#DIV/0!</v>
      </c>
      <c r="I66" s="560" t="e">
        <f t="shared" si="13"/>
        <v>#DIV/0!</v>
      </c>
      <c r="J66" s="560" t="e">
        <f t="shared" si="13"/>
        <v>#DIV/0!</v>
      </c>
      <c r="K66" s="560" t="e">
        <f t="shared" si="13"/>
        <v>#DIV/0!</v>
      </c>
      <c r="L66" s="560" t="e">
        <f t="shared" si="13"/>
        <v>#DIV/0!</v>
      </c>
      <c r="M66" s="560" t="e">
        <f t="shared" si="13"/>
        <v>#DIV/0!</v>
      </c>
    </row>
  </sheetData>
  <mergeCells count="30">
    <mergeCell ref="A28:H28"/>
    <mergeCell ref="A1:B3"/>
    <mergeCell ref="C1:V2"/>
    <mergeCell ref="C3:V3"/>
    <mergeCell ref="C7:F7"/>
    <mergeCell ref="G7:I7"/>
    <mergeCell ref="J7:M7"/>
    <mergeCell ref="R7:V7"/>
    <mergeCell ref="W7:X7"/>
    <mergeCell ref="A24:H24"/>
    <mergeCell ref="A25:H25"/>
    <mergeCell ref="A26:H26"/>
    <mergeCell ref="A27:H27"/>
    <mergeCell ref="A58:A59"/>
    <mergeCell ref="B58:D58"/>
    <mergeCell ref="F58:F59"/>
    <mergeCell ref="G58:K58"/>
    <mergeCell ref="L58:M58"/>
    <mergeCell ref="A29:H29"/>
    <mergeCell ref="A30:H30"/>
    <mergeCell ref="A31:H31"/>
    <mergeCell ref="A56:M56"/>
    <mergeCell ref="A57:M57"/>
    <mergeCell ref="A65:E66"/>
    <mergeCell ref="A61:M61"/>
    <mergeCell ref="A62:A63"/>
    <mergeCell ref="B62:D62"/>
    <mergeCell ref="F62:F63"/>
    <mergeCell ref="G62:K62"/>
    <mergeCell ref="L62:M62"/>
  </mergeCells>
  <conditionalFormatting sqref="G66:M66">
    <cfRule type="containsText" dxfId="1" priority="1" operator="containsText" text="NO LOGRADO">
      <formula>NOT(ISERROR(SEARCH("NO LOGRADO",G66)))</formula>
    </cfRule>
    <cfRule type="containsText" dxfId="0" priority="2" operator="containsText" text="LOGRADO">
      <formula>NOT(ISERROR(SEARCH("LOGRADO",G66)))</formula>
    </cfRule>
  </conditionalFormatting>
  <pageMargins left="0.7" right="0.7" top="0.75" bottom="0.75" header="0.3" footer="0.3"/>
  <drawing r:id="rId1"/>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19"/>
  <sheetViews>
    <sheetView workbookViewId="0">
      <selection activeCell="A19" sqref="A19"/>
    </sheetView>
  </sheetViews>
  <sheetFormatPr baseColWidth="10" defaultRowHeight="14.25"/>
  <sheetData>
    <row r="1" spans="1:1">
      <c r="A1" t="s">
        <v>58</v>
      </c>
    </row>
    <row r="3" spans="1:1">
      <c r="A3" t="s">
        <v>60</v>
      </c>
    </row>
    <row r="5" spans="1:1">
      <c r="A5" t="s">
        <v>59</v>
      </c>
    </row>
    <row r="7" spans="1:1" ht="15">
      <c r="A7" t="s">
        <v>73</v>
      </c>
    </row>
    <row r="8" spans="1:1" ht="15">
      <c r="A8" s="1" t="s">
        <v>61</v>
      </c>
    </row>
    <row r="9" spans="1:1" ht="15">
      <c r="A9" t="s">
        <v>74</v>
      </c>
    </row>
    <row r="10" spans="1:1" ht="15">
      <c r="A10" t="s">
        <v>62</v>
      </c>
    </row>
    <row r="11" spans="1:1" ht="15">
      <c r="A11" t="s">
        <v>63</v>
      </c>
    </row>
    <row r="12" spans="1:1" ht="15">
      <c r="A12" t="s">
        <v>64</v>
      </c>
    </row>
    <row r="13" spans="1:1" ht="15">
      <c r="A13" t="s">
        <v>65</v>
      </c>
    </row>
    <row r="14" spans="1:1" ht="15">
      <c r="A14" t="s">
        <v>66</v>
      </c>
    </row>
    <row r="15" spans="1:1" ht="15">
      <c r="A15" t="s">
        <v>67</v>
      </c>
    </row>
    <row r="16" spans="1:1" ht="15">
      <c r="A16" t="s">
        <v>68</v>
      </c>
    </row>
    <row r="17" spans="1:1" ht="15">
      <c r="A17" t="s">
        <v>69</v>
      </c>
    </row>
    <row r="18" spans="1:1" ht="15">
      <c r="A18" t="s">
        <v>70</v>
      </c>
    </row>
    <row r="19" spans="1:1" ht="15">
      <c r="A19"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59</vt:i4>
      </vt:variant>
      <vt:variant>
        <vt:lpstr>Rangos con nombre</vt:lpstr>
      </vt:variant>
      <vt:variant>
        <vt:i4>56</vt:i4>
      </vt:variant>
    </vt:vector>
  </HeadingPairs>
  <TitlesOfParts>
    <vt:vector size="115" baseType="lpstr">
      <vt:lpstr>INDICADORES DE GESTIÓN </vt:lpstr>
      <vt:lpstr>Hoja1</vt:lpstr>
      <vt:lpstr>PLANEACIÓN PL-IND1</vt:lpstr>
      <vt:lpstr>PLANEACIÓN PL-IND2</vt:lpstr>
      <vt:lpstr>PLANEACIÓN PL-IND3</vt:lpstr>
      <vt:lpstr>PLANEACIÓN PL-IND4</vt:lpstr>
      <vt:lpstr>JURÍDICA GJU-IND1</vt:lpstr>
      <vt:lpstr>JURÍDICA GJU-IND2</vt:lpstr>
      <vt:lpstr>JURÍDICA GJU-IND3</vt:lpstr>
      <vt:lpstr>JURÍDICA GJU-IND4</vt:lpstr>
      <vt:lpstr>JURÍDICA GJU-IND5</vt:lpstr>
      <vt:lpstr>INFORMÁTICA INF-IND1</vt:lpstr>
      <vt:lpstr>INFORMÁTICA INF-IND2</vt:lpstr>
      <vt:lpstr>INFORMÁTICA INF-IND3</vt:lpstr>
      <vt:lpstr>INFORMÁTICA INF-IND4</vt:lpstr>
      <vt:lpstr>GES. DOCUMENTAL GDOC-IND1</vt:lpstr>
      <vt:lpstr>TESORERÍA TES-IND1</vt:lpstr>
      <vt:lpstr>CAJA MENOR CAJA-IND1</vt:lpstr>
      <vt:lpstr>CONTABILIDAD CONT-IND1</vt:lpstr>
      <vt:lpstr>CONTABILIDAD CONT-IND2</vt:lpstr>
      <vt:lpstr>PRESUPUESTO PRE-IND1</vt:lpstr>
      <vt:lpstr>PRESUPUESTO PRE-IND2</vt:lpstr>
      <vt:lpstr>PROYECTOS GPRO-IND1</vt:lpstr>
      <vt:lpstr>PROYECTOS GPRO-IND2</vt:lpstr>
      <vt:lpstr>PROYECTOS GPRO-IND3</vt:lpstr>
      <vt:lpstr>PROYECTOS GPRO-IND4</vt:lpstr>
      <vt:lpstr>PROYECTOS GPRO-IND5</vt:lpstr>
      <vt:lpstr>PROYECTOS GPRO-IND6</vt:lpstr>
      <vt:lpstr>T. HUMANO TH-IND1</vt:lpstr>
      <vt:lpstr>T. HUMANO TH-IND2</vt:lpstr>
      <vt:lpstr>T. HUMANO TH-IND3</vt:lpstr>
      <vt:lpstr>AT. USUARIO ATU-IND1</vt:lpstr>
      <vt:lpstr>AT. USUARIO ATU-IND2</vt:lpstr>
      <vt:lpstr>MANTENIMIENTO MANT-IND1</vt:lpstr>
      <vt:lpstr>MANTENIMIENTO MANT-IND2</vt:lpstr>
      <vt:lpstr>VIVIENDAS VIV-IND1</vt:lpstr>
      <vt:lpstr>VIVIENDAS VIV-IND2</vt:lpstr>
      <vt:lpstr>FINCA RAIZ FIN-IND1</vt:lpstr>
      <vt:lpstr>FINCA RAIZ FIN-IND2</vt:lpstr>
      <vt:lpstr>SER. PUBLICOS SPU-IND1</vt:lpstr>
      <vt:lpstr>SER. PUBLICOS SPU-IND2</vt:lpstr>
      <vt:lpstr>SER. PUBLICOS SPU-IND3</vt:lpstr>
      <vt:lpstr>SER. PUBLICOS SPU-IND4</vt:lpstr>
      <vt:lpstr>SER. PUBLICOS SPU-IND5</vt:lpstr>
      <vt:lpstr>CARTERA CART-IND1</vt:lpstr>
      <vt:lpstr>CONTRATOS ADQ-IND1</vt:lpstr>
      <vt:lpstr>CONTRATOS ADQ-IND2</vt:lpstr>
      <vt:lpstr>ALMACÉN ALM-IND1</vt:lpstr>
      <vt:lpstr>TRANSPORTES TRA-IND1</vt:lpstr>
      <vt:lpstr>TRANSPORTES TRA-IND2</vt:lpstr>
      <vt:lpstr>GESTIÓN INTEGRAL SGA-IND1</vt:lpstr>
      <vt:lpstr>GESTIÓN INTEGRAL SGA-IND2</vt:lpstr>
      <vt:lpstr>GESTIÓN INTEGRAL SGA-IND3</vt:lpstr>
      <vt:lpstr>GESTIÓN INTEGRAL SGA-IND4</vt:lpstr>
      <vt:lpstr>GESTIÓN INTEGRAL SGA-IND5</vt:lpstr>
      <vt:lpstr>GESTIÓN INTEGRAL SST-IND1 2021</vt:lpstr>
      <vt:lpstr>GESTIÓN INTEGRAL SST IND1 2021</vt:lpstr>
      <vt:lpstr>ESTADISTICAS DE ACCIDENTALIDAD</vt:lpstr>
      <vt:lpstr>Instructivo</vt:lpstr>
      <vt:lpstr>'ALMACÉN ALM-IND1'!Área_de_impresión</vt:lpstr>
      <vt:lpstr>'AT. USUARIO ATU-IND1'!Área_de_impresión</vt:lpstr>
      <vt:lpstr>'AT. USUARIO ATU-IND2'!Área_de_impresión</vt:lpstr>
      <vt:lpstr>'CAJA MENOR CAJA-IND1'!Área_de_impresión</vt:lpstr>
      <vt:lpstr>'CARTERA CART-IND1'!Área_de_impresión</vt:lpstr>
      <vt:lpstr>'CONTABILIDAD CONT-IND1'!Área_de_impresión</vt:lpstr>
      <vt:lpstr>'CONTABILIDAD CONT-IND2'!Área_de_impresión</vt:lpstr>
      <vt:lpstr>'CONTRATOS ADQ-IND1'!Área_de_impresión</vt:lpstr>
      <vt:lpstr>'CONTRATOS ADQ-IND2'!Área_de_impresión</vt:lpstr>
      <vt:lpstr>'FINCA RAIZ FIN-IND1'!Área_de_impresión</vt:lpstr>
      <vt:lpstr>'FINCA RAIZ FIN-IND2'!Área_de_impresión</vt:lpstr>
      <vt:lpstr>'GES. DOCUMENTAL GDOC-IND1'!Área_de_impresión</vt:lpstr>
      <vt:lpstr>'GESTIÓN INTEGRAL SGA-IND1'!Área_de_impresión</vt:lpstr>
      <vt:lpstr>'GESTIÓN INTEGRAL SGA-IND2'!Área_de_impresión</vt:lpstr>
      <vt:lpstr>'GESTIÓN INTEGRAL SGA-IND3'!Área_de_impresión</vt:lpstr>
      <vt:lpstr>'GESTIÓN INTEGRAL SGA-IND4'!Área_de_impresión</vt:lpstr>
      <vt:lpstr>'GESTIÓN INTEGRAL SGA-IND5'!Área_de_impresión</vt:lpstr>
      <vt:lpstr>'GESTIÓN INTEGRAL SST IND1 2021'!Área_de_impresión</vt:lpstr>
      <vt:lpstr>'GESTIÓN INTEGRAL SST-IND1 2021'!Área_de_impresión</vt:lpstr>
      <vt:lpstr>'INDICADORES DE GESTIÓN '!Área_de_impresión</vt:lpstr>
      <vt:lpstr>'INFORMÁTICA INF-IND1'!Área_de_impresión</vt:lpstr>
      <vt:lpstr>'INFORMÁTICA INF-IND2'!Área_de_impresión</vt:lpstr>
      <vt:lpstr>'INFORMÁTICA INF-IND3'!Área_de_impresión</vt:lpstr>
      <vt:lpstr>'INFORMÁTICA INF-IND4'!Área_de_impresión</vt:lpstr>
      <vt:lpstr>'JURÍDICA GJU-IND1'!Área_de_impresión</vt:lpstr>
      <vt:lpstr>'JURÍDICA GJU-IND2'!Área_de_impresión</vt:lpstr>
      <vt:lpstr>'JURÍDICA GJU-IND3'!Área_de_impresión</vt:lpstr>
      <vt:lpstr>'JURÍDICA GJU-IND4'!Área_de_impresión</vt:lpstr>
      <vt:lpstr>'JURÍDICA GJU-IND5'!Área_de_impresión</vt:lpstr>
      <vt:lpstr>'MANTENIMIENTO MANT-IND1'!Área_de_impresión</vt:lpstr>
      <vt:lpstr>'MANTENIMIENTO MANT-IND2'!Área_de_impresión</vt:lpstr>
      <vt:lpstr>'PLANEACIÓN PL-IND1'!Área_de_impresión</vt:lpstr>
      <vt:lpstr>'PLANEACIÓN PL-IND2'!Área_de_impresión</vt:lpstr>
      <vt:lpstr>'PLANEACIÓN PL-IND3'!Área_de_impresión</vt:lpstr>
      <vt:lpstr>'PLANEACIÓN PL-IND4'!Área_de_impresión</vt:lpstr>
      <vt:lpstr>'PRESUPUESTO PRE-IND1'!Área_de_impresión</vt:lpstr>
      <vt:lpstr>'PRESUPUESTO PRE-IND2'!Área_de_impresión</vt:lpstr>
      <vt:lpstr>'PROYECTOS GPRO-IND1'!Área_de_impresión</vt:lpstr>
      <vt:lpstr>'PROYECTOS GPRO-IND2'!Área_de_impresión</vt:lpstr>
      <vt:lpstr>'PROYECTOS GPRO-IND3'!Área_de_impresión</vt:lpstr>
      <vt:lpstr>'PROYECTOS GPRO-IND4'!Área_de_impresión</vt:lpstr>
      <vt:lpstr>'PROYECTOS GPRO-IND5'!Área_de_impresión</vt:lpstr>
      <vt:lpstr>'PROYECTOS GPRO-IND6'!Área_de_impresión</vt:lpstr>
      <vt:lpstr>'SER. PUBLICOS SPU-IND1'!Área_de_impresión</vt:lpstr>
      <vt:lpstr>'SER. PUBLICOS SPU-IND2'!Área_de_impresión</vt:lpstr>
      <vt:lpstr>'SER. PUBLICOS SPU-IND3'!Área_de_impresión</vt:lpstr>
      <vt:lpstr>'SER. PUBLICOS SPU-IND4'!Área_de_impresión</vt:lpstr>
      <vt:lpstr>'SER. PUBLICOS SPU-IND5'!Área_de_impresión</vt:lpstr>
      <vt:lpstr>'T. HUMANO TH-IND1'!Área_de_impresión</vt:lpstr>
      <vt:lpstr>'T. HUMANO TH-IND2'!Área_de_impresión</vt:lpstr>
      <vt:lpstr>'T. HUMANO TH-IND3'!Área_de_impresión</vt:lpstr>
      <vt:lpstr>'TESORERÍA TES-IND1'!Área_de_impresión</vt:lpstr>
      <vt:lpstr>'TRANSPORTES TRA-IND1'!Área_de_impresión</vt:lpstr>
      <vt:lpstr>'TRANSPORTES TRA-IND2'!Área_de_impresión</vt:lpstr>
      <vt:lpstr>'VIVIENDAS VIV-IND1'!Área_de_impresión</vt:lpstr>
      <vt:lpstr>'VIVIENDAS VIV-IND2'!Área_de_impresión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Rodríguez Moreno</dc:creator>
  <cp:lastModifiedBy>Dulian Paola Jimenez Gallardo</cp:lastModifiedBy>
  <cp:lastPrinted>2021-03-26T19:11:21Z</cp:lastPrinted>
  <dcterms:created xsi:type="dcterms:W3CDTF">2014-04-04T20:17:35Z</dcterms:created>
  <dcterms:modified xsi:type="dcterms:W3CDTF">2022-08-22T16:22:49Z</dcterms:modified>
</cp:coreProperties>
</file>